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ВЕДУЮЩИЙ\ПИТАНИЕ\2023\"/>
    </mc:Choice>
  </mc:AlternateContent>
  <xr:revisionPtr revIDLastSave="0" documentId="13_ncr:1_{4632BC23-DB2C-488E-BD55-2851A11197D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64" i="1" l="1"/>
  <c r="D64" i="1"/>
  <c r="F64" i="1"/>
  <c r="H64" i="1"/>
  <c r="J64" i="1"/>
  <c r="B67" i="1"/>
  <c r="D67" i="1"/>
  <c r="F67" i="1"/>
  <c r="H67" i="1"/>
  <c r="J67" i="1"/>
  <c r="E72" i="1"/>
  <c r="G72" i="1"/>
  <c r="I72" i="1"/>
  <c r="K72" i="1"/>
  <c r="M342" i="1"/>
  <c r="L342" i="1"/>
  <c r="K342" i="1"/>
  <c r="J342" i="1"/>
  <c r="I342" i="1"/>
  <c r="H342" i="1"/>
  <c r="G342" i="1"/>
  <c r="F342" i="1"/>
  <c r="E342" i="1"/>
  <c r="D342" i="1"/>
  <c r="M450" i="1" l="1"/>
  <c r="L450" i="1"/>
  <c r="K450" i="1"/>
  <c r="I450" i="1"/>
  <c r="H450" i="1"/>
  <c r="G450" i="1"/>
  <c r="F450" i="1"/>
  <c r="E450" i="1"/>
  <c r="C450" i="1"/>
  <c r="M393" i="1"/>
  <c r="L393" i="1"/>
  <c r="K393" i="1"/>
  <c r="I393" i="1"/>
  <c r="H393" i="1"/>
  <c r="G393" i="1"/>
  <c r="F393" i="1"/>
  <c r="E393" i="1"/>
  <c r="M62" i="1"/>
  <c r="K62" i="1"/>
  <c r="I62" i="1"/>
  <c r="G62" i="1"/>
  <c r="E62" i="1"/>
  <c r="C62" i="1"/>
  <c r="F62" i="1"/>
  <c r="D62" i="1"/>
  <c r="M25" i="1"/>
  <c r="K25" i="1"/>
  <c r="I25" i="1"/>
  <c r="G25" i="1"/>
  <c r="E25" i="1"/>
  <c r="C25" i="1"/>
  <c r="L25" i="1"/>
  <c r="H25" i="1"/>
  <c r="F25" i="1"/>
  <c r="M202" i="1"/>
  <c r="L202" i="1"/>
  <c r="K202" i="1"/>
  <c r="I202" i="1"/>
  <c r="H202" i="1"/>
  <c r="G202" i="1"/>
  <c r="F202" i="1"/>
  <c r="E202" i="1"/>
  <c r="C202" i="1"/>
  <c r="M154" i="1" l="1"/>
  <c r="K154" i="1"/>
  <c r="I154" i="1"/>
  <c r="G154" i="1"/>
  <c r="E154" i="1"/>
  <c r="L154" i="1"/>
  <c r="H154" i="1"/>
  <c r="F154" i="1"/>
  <c r="M352" i="1" l="1"/>
  <c r="K352" i="1"/>
  <c r="I352" i="1"/>
  <c r="G352" i="1"/>
  <c r="E352" i="1"/>
  <c r="M348" i="1"/>
  <c r="K348" i="1"/>
  <c r="I348" i="1"/>
  <c r="G348" i="1"/>
  <c r="E348" i="1"/>
  <c r="C348" i="1"/>
  <c r="M301" i="1"/>
  <c r="K301" i="1"/>
  <c r="I301" i="1"/>
  <c r="G301" i="1"/>
  <c r="E301" i="1"/>
  <c r="M349" i="1"/>
  <c r="K349" i="1"/>
  <c r="I349" i="1"/>
  <c r="G349" i="1"/>
  <c r="E349" i="1"/>
  <c r="L349" i="1"/>
  <c r="J349" i="1"/>
  <c r="H349" i="1"/>
  <c r="F349" i="1"/>
  <c r="D349" i="1"/>
  <c r="B343" i="1"/>
  <c r="M111" i="1"/>
  <c r="K111" i="1"/>
  <c r="I111" i="1"/>
  <c r="G111" i="1"/>
  <c r="E111" i="1"/>
  <c r="L111" i="1"/>
  <c r="J111" i="1"/>
  <c r="H111" i="1"/>
  <c r="F111" i="1"/>
  <c r="D111" i="1"/>
  <c r="K102" i="1"/>
  <c r="I102" i="1"/>
  <c r="G102" i="1"/>
  <c r="E102" i="1"/>
  <c r="M109" i="1"/>
  <c r="K109" i="1"/>
  <c r="I109" i="1"/>
  <c r="G109" i="1"/>
  <c r="E109" i="1"/>
  <c r="C109" i="1"/>
  <c r="L109" i="1"/>
  <c r="J109" i="1"/>
  <c r="F109" i="1"/>
  <c r="D109" i="1"/>
  <c r="L104" i="1"/>
  <c r="J104" i="1"/>
  <c r="H104" i="1"/>
  <c r="F104" i="1"/>
  <c r="D104" i="1"/>
  <c r="E299" i="1" l="1"/>
  <c r="G299" i="1"/>
  <c r="I299" i="1"/>
  <c r="M299" i="1"/>
  <c r="K299" i="1"/>
  <c r="E309" i="1"/>
  <c r="G309" i="1"/>
  <c r="I309" i="1"/>
  <c r="K309" i="1"/>
  <c r="J309" i="1"/>
  <c r="H309" i="1"/>
  <c r="F309" i="1"/>
  <c r="D309" i="1"/>
  <c r="C311" i="1"/>
  <c r="B311" i="1"/>
  <c r="M360" i="1"/>
  <c r="L360" i="1"/>
  <c r="K360" i="1"/>
  <c r="H360" i="1"/>
  <c r="F360" i="1"/>
  <c r="D360" i="1"/>
  <c r="B360" i="1"/>
  <c r="J358" i="1"/>
  <c r="J360" i="1" s="1"/>
  <c r="I358" i="1"/>
  <c r="I360" i="1" s="1"/>
  <c r="G358" i="1"/>
  <c r="G360" i="1" s="1"/>
  <c r="E358" i="1"/>
  <c r="E360" i="1" s="1"/>
  <c r="C358" i="1"/>
  <c r="C360" i="1" s="1"/>
  <c r="M304" i="1"/>
  <c r="L304" i="1"/>
  <c r="K304" i="1"/>
  <c r="J304" i="1"/>
  <c r="I304" i="1"/>
  <c r="H304" i="1"/>
  <c r="G304" i="1"/>
  <c r="F304" i="1"/>
  <c r="E304" i="1"/>
  <c r="D304" i="1"/>
  <c r="C304" i="1"/>
  <c r="B304" i="1"/>
  <c r="H301" i="1"/>
  <c r="D301" i="1"/>
  <c r="J299" i="1"/>
  <c r="H299" i="1"/>
  <c r="F299" i="1"/>
  <c r="D299" i="1"/>
  <c r="C58" i="1"/>
  <c r="I74" i="1"/>
  <c r="D74" i="1"/>
  <c r="C74" i="1"/>
  <c r="B74" i="1"/>
  <c r="E74" i="1"/>
  <c r="F74" i="1"/>
  <c r="G74" i="1"/>
  <c r="H74" i="1"/>
  <c r="J74" i="1"/>
  <c r="K74" i="1"/>
  <c r="L74" i="1"/>
  <c r="M74" i="1"/>
  <c r="L60" i="1"/>
  <c r="J60" i="1"/>
  <c r="H60" i="1"/>
  <c r="D60" i="1"/>
  <c r="B60" i="1"/>
  <c r="M57" i="1"/>
  <c r="L57" i="1"/>
  <c r="K57" i="1"/>
  <c r="J57" i="1"/>
  <c r="I57" i="1"/>
  <c r="H57" i="1"/>
  <c r="G57" i="1"/>
  <c r="F57" i="1"/>
  <c r="E57" i="1"/>
  <c r="D57" i="1"/>
  <c r="L56" i="1"/>
  <c r="J56" i="1"/>
  <c r="H56" i="1"/>
  <c r="F56" i="1"/>
  <c r="D56" i="1"/>
  <c r="B56" i="1"/>
  <c r="B58" i="1" s="1"/>
  <c r="L296" i="1"/>
  <c r="J296" i="1"/>
  <c r="H296" i="1"/>
  <c r="F296" i="1"/>
  <c r="D296" i="1"/>
  <c r="L149" i="1"/>
  <c r="J149" i="1"/>
  <c r="H149" i="1"/>
  <c r="F149" i="1"/>
  <c r="D149" i="1"/>
  <c r="L387" i="1"/>
  <c r="J387" i="1"/>
  <c r="H387" i="1"/>
  <c r="F387" i="1"/>
  <c r="D387" i="1"/>
  <c r="B244" i="1"/>
  <c r="B21" i="1"/>
  <c r="M20" i="1"/>
  <c r="L20" i="1"/>
  <c r="K20" i="1"/>
  <c r="J20" i="1"/>
  <c r="I20" i="1"/>
  <c r="H20" i="1"/>
  <c r="G20" i="1"/>
  <c r="F20" i="1"/>
  <c r="E20" i="1"/>
  <c r="D20" i="1"/>
  <c r="M196" i="1"/>
  <c r="L196" i="1"/>
  <c r="K196" i="1"/>
  <c r="J196" i="1"/>
  <c r="I196" i="1"/>
  <c r="H196" i="1"/>
  <c r="G196" i="1"/>
  <c r="F196" i="1"/>
  <c r="E196" i="1"/>
  <c r="D196" i="1"/>
  <c r="M243" i="1"/>
  <c r="L243" i="1"/>
  <c r="K243" i="1"/>
  <c r="J243" i="1"/>
  <c r="I243" i="1"/>
  <c r="H243" i="1"/>
  <c r="G243" i="1"/>
  <c r="F243" i="1"/>
  <c r="E243" i="1"/>
  <c r="D243" i="1"/>
  <c r="L444" i="1"/>
  <c r="J444" i="1"/>
  <c r="H444" i="1"/>
  <c r="F444" i="1"/>
  <c r="D444" i="1"/>
  <c r="K250" i="1"/>
  <c r="J250" i="1"/>
  <c r="I250" i="1"/>
  <c r="H250" i="1"/>
  <c r="G250" i="1"/>
  <c r="F250" i="1"/>
  <c r="E250" i="1"/>
  <c r="D250" i="1"/>
  <c r="C250" i="1"/>
  <c r="B250" i="1"/>
  <c r="N261" i="1"/>
  <c r="L246" i="1"/>
  <c r="J246" i="1"/>
  <c r="H246" i="1"/>
  <c r="D246" i="1"/>
  <c r="B246" i="1"/>
  <c r="E159" i="1"/>
  <c r="G159" i="1"/>
  <c r="I159" i="1"/>
  <c r="M159" i="1"/>
  <c r="K159" i="1"/>
  <c r="J152" i="1"/>
  <c r="H152" i="1"/>
  <c r="F152" i="1"/>
  <c r="D152" i="1"/>
  <c r="B152" i="1"/>
  <c r="C159" i="1"/>
  <c r="L148" i="1"/>
  <c r="J148" i="1"/>
  <c r="H148" i="1"/>
  <c r="F148" i="1"/>
  <c r="D148" i="1"/>
  <c r="B148" i="1"/>
  <c r="J391" i="1"/>
  <c r="H391" i="1"/>
  <c r="F391" i="1"/>
  <c r="D391" i="1"/>
  <c r="B391" i="1"/>
  <c r="M444" i="1"/>
  <c r="K444" i="1"/>
  <c r="I444" i="1"/>
  <c r="G444" i="1"/>
  <c r="E444" i="1"/>
  <c r="L445" i="1"/>
  <c r="J445" i="1"/>
  <c r="H445" i="1"/>
  <c r="F445" i="1"/>
  <c r="D445" i="1"/>
  <c r="B445" i="1"/>
  <c r="B446" i="1" s="1"/>
  <c r="E459" i="1"/>
  <c r="G459" i="1"/>
  <c r="I459" i="1"/>
  <c r="M459" i="1"/>
  <c r="K459" i="1"/>
  <c r="K460" i="1"/>
  <c r="I460" i="1"/>
  <c r="G460" i="1"/>
  <c r="E460" i="1"/>
  <c r="M454" i="1"/>
  <c r="K454" i="1"/>
  <c r="I454" i="1"/>
  <c r="G454" i="1"/>
  <c r="E454" i="1"/>
  <c r="C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K452" i="1"/>
  <c r="J452" i="1"/>
  <c r="I452" i="1"/>
  <c r="H452" i="1"/>
  <c r="G452" i="1"/>
  <c r="F452" i="1"/>
  <c r="E452" i="1"/>
  <c r="D452" i="1"/>
  <c r="C452" i="1"/>
  <c r="B452" i="1"/>
  <c r="E212" i="1"/>
  <c r="G212" i="1"/>
  <c r="B459" i="1"/>
  <c r="D459" i="1"/>
  <c r="F459" i="1"/>
  <c r="H459" i="1"/>
  <c r="J459" i="1"/>
  <c r="I212" i="1"/>
  <c r="K212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K204" i="1" l="1"/>
  <c r="J204" i="1"/>
  <c r="I204" i="1"/>
  <c r="H204" i="1"/>
  <c r="G204" i="1"/>
  <c r="F204" i="1"/>
  <c r="E204" i="1"/>
  <c r="D204" i="1"/>
  <c r="C204" i="1"/>
  <c r="B204" i="1"/>
  <c r="M206" i="1"/>
  <c r="K206" i="1"/>
  <c r="I206" i="1"/>
  <c r="G206" i="1"/>
  <c r="E206" i="1"/>
  <c r="C206" i="1"/>
  <c r="B197" i="1"/>
  <c r="B198" i="1" s="1"/>
  <c r="D197" i="1"/>
  <c r="F197" i="1"/>
  <c r="H197" i="1"/>
  <c r="L197" i="1"/>
  <c r="J197" i="1"/>
  <c r="O199" i="1"/>
  <c r="E198" i="1"/>
  <c r="C244" i="1"/>
  <c r="K257" i="1"/>
  <c r="J257" i="1"/>
  <c r="I257" i="1"/>
  <c r="H257" i="1"/>
  <c r="G257" i="1"/>
  <c r="F257" i="1"/>
  <c r="E257" i="1"/>
  <c r="D257" i="1"/>
  <c r="C257" i="1"/>
  <c r="B257" i="1"/>
  <c r="M256" i="1"/>
  <c r="L256" i="1"/>
  <c r="K256" i="1"/>
  <c r="J256" i="1"/>
  <c r="I256" i="1"/>
  <c r="H256" i="1"/>
  <c r="G256" i="1"/>
  <c r="F256" i="1"/>
  <c r="E256" i="1"/>
  <c r="D256" i="1"/>
  <c r="C256" i="1"/>
  <c r="C259" i="1" s="1"/>
  <c r="B256" i="1"/>
  <c r="B259" i="1" s="1"/>
  <c r="D23" i="1"/>
  <c r="E23" i="1"/>
  <c r="F23" i="1"/>
  <c r="G23" i="1"/>
  <c r="H23" i="1"/>
  <c r="I23" i="1"/>
  <c r="K23" i="1"/>
  <c r="J23" i="1"/>
  <c r="J27" i="1"/>
  <c r="M26" i="1"/>
  <c r="K26" i="1"/>
  <c r="I26" i="1"/>
  <c r="G26" i="1"/>
  <c r="E26" i="1"/>
  <c r="C26" i="1"/>
  <c r="C27" i="1"/>
  <c r="C21" i="1"/>
  <c r="H102" i="1"/>
  <c r="C30" i="1" l="1"/>
  <c r="E30" i="1"/>
  <c r="G30" i="1"/>
  <c r="I30" i="1"/>
  <c r="M30" i="1"/>
  <c r="K30" i="1"/>
  <c r="C29" i="1"/>
  <c r="E29" i="1"/>
  <c r="G29" i="1"/>
  <c r="I29" i="1"/>
  <c r="M29" i="1"/>
  <c r="K29" i="1"/>
  <c r="C28" i="1"/>
  <c r="E28" i="1"/>
  <c r="G28" i="1"/>
  <c r="I28" i="1"/>
  <c r="M28" i="1"/>
  <c r="K28" i="1"/>
  <c r="B28" i="1"/>
  <c r="D28" i="1"/>
  <c r="F28" i="1"/>
  <c r="H28" i="1"/>
  <c r="L28" i="1"/>
  <c r="J28" i="1"/>
  <c r="D27" i="1"/>
  <c r="F27" i="1"/>
  <c r="H27" i="1"/>
  <c r="E27" i="1"/>
  <c r="G27" i="1"/>
  <c r="I27" i="1"/>
  <c r="K27" i="1"/>
  <c r="B27" i="1"/>
  <c r="K211" i="1"/>
  <c r="D211" i="1"/>
  <c r="F211" i="1"/>
  <c r="H211" i="1"/>
  <c r="B211" i="1"/>
  <c r="J211" i="1"/>
  <c r="C402" i="1"/>
  <c r="E402" i="1"/>
  <c r="G402" i="1"/>
  <c r="I402" i="1"/>
  <c r="K402" i="1"/>
  <c r="H402" i="1"/>
  <c r="F402" i="1"/>
  <c r="D402" i="1"/>
  <c r="B402" i="1"/>
  <c r="J402" i="1"/>
  <c r="M403" i="1"/>
  <c r="K403" i="1"/>
  <c r="I403" i="1"/>
  <c r="G403" i="1"/>
  <c r="E403" i="1"/>
  <c r="C403" i="1"/>
  <c r="C163" i="1"/>
  <c r="E163" i="1"/>
  <c r="G163" i="1"/>
  <c r="I163" i="1"/>
  <c r="M163" i="1"/>
  <c r="K163" i="1"/>
  <c r="C164" i="1"/>
  <c r="E164" i="1"/>
  <c r="G164" i="1"/>
  <c r="I164" i="1"/>
  <c r="M164" i="1"/>
  <c r="K164" i="1"/>
  <c r="L163" i="1"/>
  <c r="H163" i="1"/>
  <c r="F163" i="1"/>
  <c r="D163" i="1"/>
  <c r="B163" i="1"/>
  <c r="J163" i="1"/>
  <c r="C119" i="1" l="1"/>
  <c r="C122" i="1" s="1"/>
  <c r="E119" i="1"/>
  <c r="E122" i="1" s="1"/>
  <c r="G119" i="1"/>
  <c r="G122" i="1" s="1"/>
  <c r="I119" i="1"/>
  <c r="I122" i="1" s="1"/>
  <c r="K119" i="1"/>
  <c r="K122" i="1" s="1"/>
  <c r="B122" i="1"/>
  <c r="M122" i="1"/>
  <c r="L122" i="1"/>
  <c r="J122" i="1"/>
  <c r="H122" i="1"/>
  <c r="F122" i="1"/>
  <c r="D122" i="1"/>
  <c r="C461" i="1"/>
  <c r="D461" i="1"/>
  <c r="E461" i="1"/>
  <c r="F461" i="1"/>
  <c r="G461" i="1"/>
  <c r="H461" i="1"/>
  <c r="I461" i="1"/>
  <c r="J461" i="1"/>
  <c r="K461" i="1"/>
  <c r="L461" i="1"/>
  <c r="M461" i="1"/>
  <c r="B461" i="1"/>
  <c r="C457" i="1"/>
  <c r="D457" i="1"/>
  <c r="E457" i="1"/>
  <c r="F457" i="1"/>
  <c r="G457" i="1"/>
  <c r="H457" i="1"/>
  <c r="I457" i="1"/>
  <c r="J457" i="1"/>
  <c r="K457" i="1"/>
  <c r="L457" i="1"/>
  <c r="B457" i="1"/>
  <c r="C446" i="1"/>
  <c r="D446" i="1"/>
  <c r="E446" i="1"/>
  <c r="F446" i="1"/>
  <c r="G446" i="1"/>
  <c r="H446" i="1"/>
  <c r="I446" i="1"/>
  <c r="J446" i="1"/>
  <c r="K446" i="1"/>
  <c r="L446" i="1"/>
  <c r="M446" i="1"/>
  <c r="C405" i="1"/>
  <c r="B405" i="1"/>
  <c r="D405" i="1"/>
  <c r="E405" i="1"/>
  <c r="F405" i="1"/>
  <c r="G405" i="1"/>
  <c r="H405" i="1"/>
  <c r="I405" i="1"/>
  <c r="J405" i="1"/>
  <c r="K405" i="1"/>
  <c r="L405" i="1"/>
  <c r="M405" i="1"/>
  <c r="C400" i="1"/>
  <c r="D400" i="1"/>
  <c r="E400" i="1"/>
  <c r="F400" i="1"/>
  <c r="G400" i="1"/>
  <c r="H400" i="1"/>
  <c r="I400" i="1"/>
  <c r="J400" i="1"/>
  <c r="K400" i="1"/>
  <c r="L400" i="1"/>
  <c r="M400" i="1"/>
  <c r="B400" i="1"/>
  <c r="C389" i="1"/>
  <c r="D389" i="1"/>
  <c r="E389" i="1"/>
  <c r="F389" i="1"/>
  <c r="G389" i="1"/>
  <c r="H389" i="1"/>
  <c r="I389" i="1"/>
  <c r="J389" i="1"/>
  <c r="K389" i="1"/>
  <c r="L389" i="1"/>
  <c r="M389" i="1"/>
  <c r="B389" i="1"/>
  <c r="C354" i="1"/>
  <c r="D354" i="1"/>
  <c r="E354" i="1"/>
  <c r="F354" i="1"/>
  <c r="G354" i="1"/>
  <c r="H354" i="1"/>
  <c r="I354" i="1"/>
  <c r="J354" i="1"/>
  <c r="K354" i="1"/>
  <c r="L354" i="1"/>
  <c r="M354" i="1"/>
  <c r="B354" i="1"/>
  <c r="B362" i="1" s="1"/>
  <c r="C343" i="1"/>
  <c r="D343" i="1"/>
  <c r="E343" i="1"/>
  <c r="E362" i="1" s="1"/>
  <c r="F343" i="1"/>
  <c r="F362" i="1" s="1"/>
  <c r="G343" i="1"/>
  <c r="H343" i="1"/>
  <c r="I343" i="1"/>
  <c r="J343" i="1"/>
  <c r="K343" i="1"/>
  <c r="L343" i="1"/>
  <c r="M343" i="1"/>
  <c r="D311" i="1"/>
  <c r="E311" i="1"/>
  <c r="F311" i="1"/>
  <c r="G311" i="1"/>
  <c r="H311" i="1"/>
  <c r="I311" i="1"/>
  <c r="J311" i="1"/>
  <c r="K311" i="1"/>
  <c r="L311" i="1"/>
  <c r="M311" i="1"/>
  <c r="C307" i="1"/>
  <c r="D307" i="1"/>
  <c r="E307" i="1"/>
  <c r="F307" i="1"/>
  <c r="G307" i="1"/>
  <c r="H307" i="1"/>
  <c r="I307" i="1"/>
  <c r="J307" i="1"/>
  <c r="K307" i="1"/>
  <c r="L307" i="1"/>
  <c r="M307" i="1"/>
  <c r="B307" i="1"/>
  <c r="C297" i="1"/>
  <c r="D297" i="1"/>
  <c r="E297" i="1"/>
  <c r="F297" i="1"/>
  <c r="G297" i="1"/>
  <c r="H297" i="1"/>
  <c r="I297" i="1"/>
  <c r="J297" i="1"/>
  <c r="K297" i="1"/>
  <c r="L297" i="1"/>
  <c r="M297" i="1"/>
  <c r="B297" i="1"/>
  <c r="B313" i="1" s="1"/>
  <c r="C254" i="1"/>
  <c r="D254" i="1"/>
  <c r="E254" i="1"/>
  <c r="F254" i="1"/>
  <c r="G254" i="1"/>
  <c r="H254" i="1"/>
  <c r="I254" i="1"/>
  <c r="J254" i="1"/>
  <c r="K254" i="1"/>
  <c r="L254" i="1"/>
  <c r="M254" i="1"/>
  <c r="B254" i="1"/>
  <c r="B261" i="1" s="1"/>
  <c r="D244" i="1"/>
  <c r="E244" i="1"/>
  <c r="F244" i="1"/>
  <c r="G244" i="1"/>
  <c r="H244" i="1"/>
  <c r="I244" i="1"/>
  <c r="J244" i="1"/>
  <c r="K244" i="1"/>
  <c r="L244" i="1"/>
  <c r="M244" i="1"/>
  <c r="C213" i="1"/>
  <c r="D213" i="1"/>
  <c r="E213" i="1"/>
  <c r="F213" i="1"/>
  <c r="G213" i="1"/>
  <c r="H213" i="1"/>
  <c r="I213" i="1"/>
  <c r="J213" i="1"/>
  <c r="K213" i="1"/>
  <c r="L213" i="1"/>
  <c r="M213" i="1"/>
  <c r="B213" i="1"/>
  <c r="C209" i="1"/>
  <c r="D209" i="1"/>
  <c r="E209" i="1"/>
  <c r="F209" i="1"/>
  <c r="G209" i="1"/>
  <c r="H209" i="1"/>
  <c r="I209" i="1"/>
  <c r="J209" i="1"/>
  <c r="K209" i="1"/>
  <c r="L209" i="1"/>
  <c r="M209" i="1"/>
  <c r="B209" i="1"/>
  <c r="C198" i="1"/>
  <c r="D198" i="1"/>
  <c r="F198" i="1"/>
  <c r="G198" i="1"/>
  <c r="H198" i="1"/>
  <c r="I198" i="1"/>
  <c r="J198" i="1"/>
  <c r="K198" i="1"/>
  <c r="L198" i="1"/>
  <c r="M198" i="1"/>
  <c r="C166" i="1"/>
  <c r="B166" i="1"/>
  <c r="D166" i="1"/>
  <c r="E166" i="1"/>
  <c r="F166" i="1"/>
  <c r="G166" i="1"/>
  <c r="H166" i="1"/>
  <c r="I166" i="1"/>
  <c r="J166" i="1"/>
  <c r="K166" i="1"/>
  <c r="L166" i="1"/>
  <c r="M166" i="1"/>
  <c r="C161" i="1"/>
  <c r="D161" i="1"/>
  <c r="E161" i="1"/>
  <c r="F161" i="1"/>
  <c r="G161" i="1"/>
  <c r="H161" i="1"/>
  <c r="I161" i="1"/>
  <c r="J161" i="1"/>
  <c r="K161" i="1"/>
  <c r="L161" i="1"/>
  <c r="M161" i="1"/>
  <c r="B161" i="1"/>
  <c r="C150" i="1"/>
  <c r="D150" i="1"/>
  <c r="E150" i="1"/>
  <c r="F150" i="1"/>
  <c r="G150" i="1"/>
  <c r="H150" i="1"/>
  <c r="I150" i="1"/>
  <c r="J150" i="1"/>
  <c r="K150" i="1"/>
  <c r="L150" i="1"/>
  <c r="M150" i="1"/>
  <c r="B150" i="1"/>
  <c r="C116" i="1"/>
  <c r="D116" i="1"/>
  <c r="E116" i="1"/>
  <c r="F116" i="1"/>
  <c r="G116" i="1"/>
  <c r="H116" i="1"/>
  <c r="I116" i="1"/>
  <c r="J116" i="1"/>
  <c r="K116" i="1"/>
  <c r="L116" i="1"/>
  <c r="M116" i="1"/>
  <c r="B116" i="1"/>
  <c r="C105" i="1"/>
  <c r="C124" i="1" s="1"/>
  <c r="D105" i="1"/>
  <c r="E105" i="1"/>
  <c r="F105" i="1"/>
  <c r="G105" i="1"/>
  <c r="H105" i="1"/>
  <c r="I105" i="1"/>
  <c r="J105" i="1"/>
  <c r="K105" i="1"/>
  <c r="L105" i="1"/>
  <c r="M105" i="1"/>
  <c r="B105" i="1"/>
  <c r="C68" i="1"/>
  <c r="D68" i="1"/>
  <c r="E68" i="1"/>
  <c r="F68" i="1"/>
  <c r="G68" i="1"/>
  <c r="H68" i="1"/>
  <c r="I68" i="1"/>
  <c r="J68" i="1"/>
  <c r="K68" i="1"/>
  <c r="L68" i="1"/>
  <c r="M68" i="1"/>
  <c r="B68" i="1"/>
  <c r="B76" i="1" s="1"/>
  <c r="D58" i="1"/>
  <c r="E58" i="1"/>
  <c r="F58" i="1"/>
  <c r="G58" i="1"/>
  <c r="H58" i="1"/>
  <c r="I58" i="1"/>
  <c r="J58" i="1"/>
  <c r="K58" i="1"/>
  <c r="L58" i="1"/>
  <c r="M58" i="1"/>
  <c r="M259" i="1"/>
  <c r="L259" i="1"/>
  <c r="J259" i="1"/>
  <c r="H259" i="1"/>
  <c r="B34" i="1"/>
  <c r="D34" i="1"/>
  <c r="F34" i="1"/>
  <c r="H34" i="1"/>
  <c r="L34" i="1"/>
  <c r="L37" i="1" s="1"/>
  <c r="J34" i="1"/>
  <c r="C34" i="1"/>
  <c r="E34" i="1"/>
  <c r="G34" i="1"/>
  <c r="I34" i="1"/>
  <c r="M34" i="1"/>
  <c r="M37" i="1" s="1"/>
  <c r="K34" i="1"/>
  <c r="K35" i="1"/>
  <c r="I35" i="1"/>
  <c r="G35" i="1"/>
  <c r="E35" i="1"/>
  <c r="C35" i="1"/>
  <c r="J35" i="1"/>
  <c r="H35" i="1"/>
  <c r="F35" i="1"/>
  <c r="D35" i="1"/>
  <c r="B35" i="1"/>
  <c r="C32" i="1"/>
  <c r="D32" i="1"/>
  <c r="E32" i="1"/>
  <c r="F32" i="1"/>
  <c r="G32" i="1"/>
  <c r="H32" i="1"/>
  <c r="I32" i="1"/>
  <c r="J32" i="1"/>
  <c r="K32" i="1"/>
  <c r="L32" i="1"/>
  <c r="M32" i="1"/>
  <c r="B32" i="1"/>
  <c r="D21" i="1"/>
  <c r="E21" i="1"/>
  <c r="F21" i="1"/>
  <c r="G21" i="1"/>
  <c r="H21" i="1"/>
  <c r="I21" i="1"/>
  <c r="J21" i="1"/>
  <c r="K21" i="1"/>
  <c r="L21" i="1"/>
  <c r="M21" i="1"/>
  <c r="C362" i="1" l="1"/>
  <c r="B407" i="1"/>
  <c r="I362" i="1"/>
  <c r="G362" i="1"/>
  <c r="D362" i="1"/>
  <c r="B168" i="1"/>
  <c r="J124" i="1"/>
  <c r="B215" i="1"/>
  <c r="B124" i="1"/>
  <c r="H124" i="1"/>
  <c r="D124" i="1"/>
  <c r="F124" i="1"/>
  <c r="M124" i="1"/>
  <c r="L124" i="1"/>
  <c r="K124" i="1"/>
  <c r="I124" i="1"/>
  <c r="G124" i="1"/>
  <c r="E124" i="1"/>
  <c r="H362" i="1"/>
  <c r="L362" i="1"/>
  <c r="K362" i="1"/>
  <c r="J362" i="1"/>
  <c r="M362" i="1"/>
  <c r="C168" i="1"/>
  <c r="H215" i="1"/>
  <c r="C313" i="1"/>
  <c r="J261" i="1"/>
  <c r="H261" i="1"/>
  <c r="M261" i="1"/>
  <c r="L261" i="1"/>
  <c r="H463" i="1"/>
  <c r="M76" i="1"/>
  <c r="C407" i="1"/>
  <c r="M463" i="1"/>
  <c r="E37" i="1"/>
  <c r="E39" i="1" s="1"/>
  <c r="H37" i="1"/>
  <c r="H39" i="1" s="1"/>
  <c r="J463" i="1"/>
  <c r="K463" i="1"/>
  <c r="D463" i="1"/>
  <c r="I463" i="1"/>
  <c r="G215" i="1"/>
  <c r="K215" i="1"/>
  <c r="C215" i="1"/>
  <c r="I215" i="1"/>
  <c r="L215" i="1"/>
  <c r="M215" i="1"/>
  <c r="F215" i="1"/>
  <c r="E463" i="1"/>
  <c r="B463" i="1"/>
  <c r="D215" i="1"/>
  <c r="M168" i="1"/>
  <c r="H76" i="1"/>
  <c r="E76" i="1"/>
  <c r="L463" i="1"/>
  <c r="L407" i="1"/>
  <c r="L168" i="1"/>
  <c r="J313" i="1"/>
  <c r="F76" i="1"/>
  <c r="D76" i="1"/>
  <c r="E215" i="1"/>
  <c r="J407" i="1"/>
  <c r="K168" i="1"/>
  <c r="J168" i="1"/>
  <c r="G76" i="1"/>
  <c r="C76" i="1"/>
  <c r="L313" i="1"/>
  <c r="K313" i="1"/>
  <c r="K407" i="1"/>
  <c r="F463" i="1"/>
  <c r="I168" i="1"/>
  <c r="I313" i="1"/>
  <c r="H407" i="1"/>
  <c r="G407" i="1"/>
  <c r="F313" i="1"/>
  <c r="L76" i="1"/>
  <c r="I407" i="1"/>
  <c r="M39" i="1"/>
  <c r="H168" i="1"/>
  <c r="L39" i="1"/>
  <c r="G168" i="1"/>
  <c r="F407" i="1"/>
  <c r="E168" i="1"/>
  <c r="E407" i="1"/>
  <c r="D407" i="1"/>
  <c r="K76" i="1"/>
  <c r="M313" i="1"/>
  <c r="M407" i="1"/>
  <c r="E313" i="1"/>
  <c r="D168" i="1"/>
  <c r="C463" i="1"/>
  <c r="J76" i="1"/>
  <c r="H313" i="1"/>
  <c r="G463" i="1"/>
  <c r="G313" i="1"/>
  <c r="F168" i="1"/>
  <c r="D313" i="1"/>
  <c r="I76" i="1"/>
  <c r="J215" i="1"/>
  <c r="K259" i="1"/>
  <c r="K261" i="1" s="1"/>
  <c r="E259" i="1"/>
  <c r="E261" i="1" s="1"/>
  <c r="D259" i="1"/>
  <c r="D261" i="1" s="1"/>
  <c r="F37" i="1"/>
  <c r="F39" i="1" s="1"/>
  <c r="C261" i="1"/>
  <c r="J37" i="1"/>
  <c r="J39" i="1" s="1"/>
  <c r="F259" i="1"/>
  <c r="F261" i="1" s="1"/>
  <c r="G259" i="1"/>
  <c r="G261" i="1" s="1"/>
  <c r="K37" i="1"/>
  <c r="K39" i="1" s="1"/>
  <c r="I37" i="1"/>
  <c r="I39" i="1" s="1"/>
  <c r="C37" i="1"/>
  <c r="C39" i="1" s="1"/>
  <c r="D37" i="1"/>
  <c r="D39" i="1" s="1"/>
  <c r="B37" i="1"/>
  <c r="B39" i="1" s="1"/>
  <c r="I259" i="1"/>
  <c r="I261" i="1" s="1"/>
  <c r="G37" i="1"/>
  <c r="G39" i="1" s="1"/>
  <c r="B466" i="1" l="1"/>
  <c r="B467" i="1" s="1"/>
  <c r="C466" i="1"/>
  <c r="C467" i="1" s="1"/>
  <c r="F466" i="1"/>
  <c r="F467" i="1" s="1"/>
  <c r="G466" i="1"/>
  <c r="G467" i="1" s="1"/>
  <c r="I466" i="1"/>
  <c r="I467" i="1" s="1"/>
  <c r="D466" i="1"/>
  <c r="D467" i="1" s="1"/>
  <c r="H466" i="1"/>
  <c r="H467" i="1" s="1"/>
  <c r="J466" i="1"/>
  <c r="J467" i="1" s="1"/>
  <c r="L466" i="1"/>
  <c r="L467" i="1" s="1"/>
  <c r="E466" i="1"/>
  <c r="E467" i="1" s="1"/>
  <c r="K466" i="1"/>
  <c r="K467" i="1" s="1"/>
  <c r="M466" i="1"/>
  <c r="M467" i="1" s="1"/>
</calcChain>
</file>

<file path=xl/sharedStrings.xml><?xml version="1.0" encoding="utf-8"?>
<sst xmlns="http://schemas.openxmlformats.org/spreadsheetml/2006/main" count="562" uniqueCount="135">
  <si>
    <t xml:space="preserve">                 Заведующий МКДОУ  д/с "Снежинка"</t>
  </si>
  <si>
    <t xml:space="preserve">       Примерное десятидневное цикличное меню  для организации питания детей в МКДОУ</t>
  </si>
  <si>
    <t>1 день</t>
  </si>
  <si>
    <t>Наименование блюд</t>
  </si>
  <si>
    <t>Выход</t>
  </si>
  <si>
    <t>Белки</t>
  </si>
  <si>
    <t>Жиры</t>
  </si>
  <si>
    <t>Ккал</t>
  </si>
  <si>
    <t>№</t>
  </si>
  <si>
    <t>(в граммах)</t>
  </si>
  <si>
    <t xml:space="preserve"> С</t>
  </si>
  <si>
    <t>рецептуры</t>
  </si>
  <si>
    <t>Я</t>
  </si>
  <si>
    <t>С</t>
  </si>
  <si>
    <t>Завтрак</t>
  </si>
  <si>
    <t>150/7</t>
  </si>
  <si>
    <t>200/10</t>
  </si>
  <si>
    <t>410/411</t>
  </si>
  <si>
    <t>Второй завтрак</t>
  </si>
  <si>
    <t>Обед</t>
  </si>
  <si>
    <t>73/59</t>
  </si>
  <si>
    <t>Хлеб ржаной</t>
  </si>
  <si>
    <t>Полдник</t>
  </si>
  <si>
    <t>150/7/3,5</t>
  </si>
  <si>
    <t>200/10/7</t>
  </si>
  <si>
    <t>410/412</t>
  </si>
  <si>
    <t>Итого за 1 день</t>
  </si>
  <si>
    <t>2 день</t>
  </si>
  <si>
    <t>Хлеб пшеничный</t>
  </si>
  <si>
    <t>Итого за 2 день</t>
  </si>
  <si>
    <t>3 день</t>
  </si>
  <si>
    <t>Итого за 3 день</t>
  </si>
  <si>
    <t>4 день</t>
  </si>
  <si>
    <t>Рассольник лениградский с рисовой крупой</t>
  </si>
  <si>
    <t>82/59</t>
  </si>
  <si>
    <t>Итого за 4 день</t>
  </si>
  <si>
    <t>5 день</t>
  </si>
  <si>
    <t>Итого за 5 день</t>
  </si>
  <si>
    <t>6 день</t>
  </si>
  <si>
    <t>Итого за 6 день</t>
  </si>
  <si>
    <t>7 день</t>
  </si>
  <si>
    <t>Итого за 7 день</t>
  </si>
  <si>
    <t>8  день</t>
  </si>
  <si>
    <t>91/60</t>
  </si>
  <si>
    <t>Итого за 8 день</t>
  </si>
  <si>
    <t>9 день</t>
  </si>
  <si>
    <t>Итого за 9 день</t>
  </si>
  <si>
    <t>10 день</t>
  </si>
  <si>
    <t>87/59</t>
  </si>
  <si>
    <t>Итого за 10 день</t>
  </si>
  <si>
    <t>ИТОГО среднее за 10 дней</t>
  </si>
  <si>
    <t>Возраст, категория: 1,5 - 7 лет.( Картотека блюд и  кулинарных изделий для ДДУ. Г.Киров,2005г;</t>
  </si>
  <si>
    <t>Сборник технических нормативов-Сборник рецептур на продукцию для питания детей блюд в ДОУ</t>
  </si>
  <si>
    <t>Под.ред.М.П.Могильного и В.А.Тутельяна - М.:ДеЛи плюс,2016г</t>
  </si>
  <si>
    <t>85/123</t>
  </si>
  <si>
    <t xml:space="preserve">Борщ </t>
  </si>
  <si>
    <t>63/60</t>
  </si>
  <si>
    <t>52.2</t>
  </si>
  <si>
    <t>Котлеты или биточки рыбные</t>
  </si>
  <si>
    <t>86/59</t>
  </si>
  <si>
    <t>_____________________________</t>
  </si>
  <si>
    <t>С.В.Маркова</t>
  </si>
  <si>
    <t>Углеводы</t>
  </si>
  <si>
    <t>Кнели куриные</t>
  </si>
  <si>
    <t>Щницель рубленый свиной</t>
  </si>
  <si>
    <t>Биточки  рубленые свиные</t>
  </si>
  <si>
    <t>Печень по-строгановски</t>
  </si>
  <si>
    <t xml:space="preserve">Рис отварной </t>
  </si>
  <si>
    <t>Каша вязкая из смеси круп (греча,пшено)</t>
  </si>
  <si>
    <t xml:space="preserve">Суп молочный с макаронными изделиями </t>
  </si>
  <si>
    <t>Суп молочный с крупой (рис)</t>
  </si>
  <si>
    <t>180/10</t>
  </si>
  <si>
    <t>Витамин</t>
  </si>
  <si>
    <t>Кисель из концентрата</t>
  </si>
  <si>
    <t>Каша рисовая вязкая с сахаром и маслом</t>
  </si>
  <si>
    <t>Бутерброд с маслом сливочным</t>
  </si>
  <si>
    <t>Чай с сахаром</t>
  </si>
  <si>
    <t>Банан  свежий</t>
  </si>
  <si>
    <t>Щи из свежей капусты с картофелем</t>
  </si>
  <si>
    <t>Пюре картофельное гарнир</t>
  </si>
  <si>
    <t>Соус белый основной</t>
  </si>
  <si>
    <t>Компот из свеж.яблок с витамином "С"</t>
  </si>
  <si>
    <t>Омлет натуральный с маслом</t>
  </si>
  <si>
    <t>Чай с лимоном</t>
  </si>
  <si>
    <t>Суп крестьянский на м/б со сметаной</t>
  </si>
  <si>
    <t>Макаронные изделия отварные</t>
  </si>
  <si>
    <r>
      <t xml:space="preserve">Сезон: </t>
    </r>
    <r>
      <rPr>
        <sz val="12"/>
        <color rgb="FF000000"/>
        <rFont val="Times New Roman"/>
        <family val="1"/>
        <charset val="204"/>
      </rPr>
      <t>зимне-весенний</t>
    </r>
  </si>
  <si>
    <r>
      <t xml:space="preserve">                </t>
    </r>
    <r>
      <rPr>
        <b/>
        <sz val="12"/>
        <color theme="1"/>
        <rFont val="Times New Roman"/>
        <family val="1"/>
        <charset val="204"/>
      </rPr>
      <t xml:space="preserve"> УТВЕРЖДАЮ</t>
    </r>
  </si>
  <si>
    <t>160/7</t>
  </si>
  <si>
    <t>Салат из свеклы с сыром</t>
  </si>
  <si>
    <r>
      <rPr>
        <b/>
        <sz val="12"/>
        <color theme="1"/>
        <rFont val="Times New Roman"/>
        <family val="1"/>
        <charset val="204"/>
      </rPr>
      <t xml:space="preserve">Неделя: </t>
    </r>
    <r>
      <rPr>
        <sz val="12"/>
        <color theme="1"/>
        <rFont val="Times New Roman"/>
        <family val="1"/>
        <charset val="204"/>
      </rPr>
      <t>первая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</si>
  <si>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вторник</t>
    </r>
  </si>
  <si>
    <t>Каша ячневая вязкая с  маслом</t>
  </si>
  <si>
    <t>Бутерброд с сыром российским</t>
  </si>
  <si>
    <t>Сок яблочный</t>
  </si>
  <si>
    <t>Каша гречневая рассыпчатая</t>
  </si>
  <si>
    <t>Компот из изюма с витамином "С"</t>
  </si>
  <si>
    <t>Суп-лапша домашняя с курицей</t>
  </si>
  <si>
    <t>Зефир</t>
  </si>
  <si>
    <r>
      <t xml:space="preserve">Неделя: </t>
    </r>
    <r>
      <rPr>
        <sz val="12"/>
        <color rgb="FF000000"/>
        <rFont val="Times New Roman"/>
        <family val="1"/>
        <charset val="204"/>
      </rPr>
      <t>первая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</si>
  <si>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среда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</si>
  <si>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четверг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</si>
  <si>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пятница</t>
    </r>
  </si>
  <si>
    <r>
      <t xml:space="preserve">Неделя: </t>
    </r>
    <r>
      <rPr>
        <sz val="12"/>
        <color rgb="FF000000"/>
        <rFont val="Times New Roman"/>
        <family val="1"/>
        <charset val="204"/>
      </rPr>
      <t>вторая</t>
    </r>
  </si>
  <si>
    <r>
      <t>День:</t>
    </r>
    <r>
      <rPr>
        <sz val="12"/>
        <color rgb="FF000000"/>
        <rFont val="Times New Roman"/>
        <family val="1"/>
        <charset val="204"/>
      </rPr>
      <t xml:space="preserve"> понедельник</t>
    </r>
  </si>
  <si>
    <t>Какао с молоком</t>
  </si>
  <si>
    <t>Снежок</t>
  </si>
  <si>
    <t>Суп картофельный протёртый с гренками</t>
  </si>
  <si>
    <t>Соус молочный(сладкий)</t>
  </si>
  <si>
    <t>Пудинг из творога запеченый</t>
  </si>
  <si>
    <t>Каша манная вязкая с сахаром и маслом</t>
  </si>
  <si>
    <t>Яблоко свежее</t>
  </si>
  <si>
    <t>Домашняя булочка</t>
  </si>
  <si>
    <t>Молоко кипяченое</t>
  </si>
  <si>
    <t>Суп картофельный с овсяной крупой</t>
  </si>
  <si>
    <t>Компот из сухофруктов с витамином "С"</t>
  </si>
  <si>
    <t>Кофейный напиток с молоком</t>
  </si>
  <si>
    <t xml:space="preserve">Ватрушка с картофелем </t>
  </si>
  <si>
    <t>Суп картофельный с клецками №128</t>
  </si>
  <si>
    <t>Сырники из творога</t>
  </si>
  <si>
    <t>Компот из свеж.яблок с витамином "С "</t>
  </si>
  <si>
    <t>Ватрушка с повидлом</t>
  </si>
  <si>
    <t>Салат из кукурузы (консервированной)</t>
  </si>
  <si>
    <t>Каша пшенная вязкая с сахаром и маслом</t>
  </si>
  <si>
    <t>Суфле куриное из броллер цыпленка</t>
  </si>
  <si>
    <t>Суп картофельный с рыбой</t>
  </si>
  <si>
    <t>Каша овсяная(геркулес) вязкая с маслом и сахаром</t>
  </si>
  <si>
    <t>Суп картофельный с бобовыми</t>
  </si>
  <si>
    <r>
      <rPr>
        <b/>
        <sz val="12"/>
        <color theme="1"/>
        <rFont val="Times New Roman"/>
        <family val="1"/>
        <charset val="204"/>
      </rPr>
      <t>День:</t>
    </r>
    <r>
      <rPr>
        <sz val="12"/>
        <color theme="1"/>
        <rFont val="Times New Roman"/>
        <family val="1"/>
        <charset val="204"/>
      </rPr>
      <t xml:space="preserve"> понедельник</t>
    </r>
  </si>
  <si>
    <t>Салат из белокачанной капусты</t>
  </si>
  <si>
    <t>Салат из св.помидор с луком репчатым</t>
  </si>
  <si>
    <t>Салат из свежих огурцов</t>
  </si>
  <si>
    <t>Салат из св.помидор и огурцов с луком</t>
  </si>
  <si>
    <t xml:space="preserve">Приказ от 27  января 2023 г  № </t>
  </si>
  <si>
    <t xml:space="preserve">                   детский сад " Снежинка" п.Восточный (летне-осенний 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</si>
</sst>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Book Antiqua"/>
      <family val="1"/>
      <charset val="204"/>
    </font>
    <font>
      <b/>
      <sz val="11"/>
      <color rgb="FF000000"/>
      <name val="Book Antiqua"/>
      <family val="1"/>
      <charset val="204"/>
    </font>
    <font>
      <sz val="11"/>
      <color theme="1"/>
      <name val="Book Antiqua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1">
    <xf numFmtId="0" fontId="0" fillId="0" borderId="0" xfId="0"/>
    <xf numFmtId="0" fontId="0" fillId="0" borderId="0" xfId="0"/>
    <xf numFmtId="0" fontId="0" fillId="0" borderId="0" xfId="0" applyFill="1"/>
    <xf numFmtId="0" fontId="11" fillId="0" borderId="0" xfId="0" applyFont="1"/>
    <xf numFmtId="0" fontId="10" fillId="0" borderId="0" xfId="0" applyFont="1"/>
    <xf numFmtId="0" fontId="4" fillId="0" borderId="0" xfId="0" applyFont="1"/>
    <xf numFmtId="0" fontId="4" fillId="0" borderId="0" xfId="0" applyFont="1" applyFill="1"/>
    <xf numFmtId="0" fontId="6" fillId="0" borderId="0" xfId="0" applyFont="1" applyAlignment="1"/>
    <xf numFmtId="0" fontId="4" fillId="0" borderId="0" xfId="0" applyFont="1" applyAlignment="1">
      <alignment horizontal="left" wrapText="1"/>
    </xf>
    <xf numFmtId="0" fontId="0" fillId="2" borderId="0" xfId="0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0" fillId="2" borderId="0" xfId="0" applyFont="1" applyFill="1"/>
    <xf numFmtId="0" fontId="6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7" fillId="0" borderId="0" xfId="0" applyFont="1"/>
    <xf numFmtId="0" fontId="7" fillId="0" borderId="0" xfId="0" applyFont="1" applyFill="1"/>
    <xf numFmtId="0" fontId="9" fillId="0" borderId="0" xfId="0" applyFont="1"/>
    <xf numFmtId="0" fontId="12" fillId="0" borderId="0" xfId="0" applyFont="1"/>
    <xf numFmtId="0" fontId="4" fillId="2" borderId="33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3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6" fillId="2" borderId="35" xfId="0" applyFont="1" applyFill="1" applyBorder="1" applyAlignment="1"/>
    <xf numFmtId="0" fontId="4" fillId="2" borderId="28" xfId="0" applyFont="1" applyFill="1" applyBorder="1"/>
    <xf numFmtId="0" fontId="4" fillId="2" borderId="3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5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2" fontId="7" fillId="2" borderId="21" xfId="0" applyNumberFormat="1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  <xf numFmtId="2" fontId="7" fillId="2" borderId="23" xfId="0" applyNumberFormat="1" applyFont="1" applyFill="1" applyBorder="1" applyAlignment="1">
      <alignment horizontal="center"/>
    </xf>
    <xf numFmtId="2" fontId="7" fillId="2" borderId="26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2" fontId="4" fillId="2" borderId="39" xfId="0" applyNumberFormat="1" applyFont="1" applyFill="1" applyBorder="1" applyAlignment="1">
      <alignment horizontal="center"/>
    </xf>
    <xf numFmtId="2" fontId="4" fillId="2" borderId="38" xfId="0" applyNumberFormat="1" applyFont="1" applyFill="1" applyBorder="1" applyAlignment="1">
      <alignment horizontal="center"/>
    </xf>
    <xf numFmtId="2" fontId="4" fillId="2" borderId="46" xfId="0" applyNumberFormat="1" applyFont="1" applyFill="1" applyBorder="1" applyAlignment="1">
      <alignment horizontal="center"/>
    </xf>
    <xf numFmtId="2" fontId="4" fillId="2" borderId="45" xfId="0" applyNumberFormat="1" applyFont="1" applyFill="1" applyBorder="1" applyAlignment="1">
      <alignment horizontal="center"/>
    </xf>
    <xf numFmtId="1" fontId="4" fillId="2" borderId="36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6" fillId="2" borderId="18" xfId="0" applyFont="1" applyFill="1" applyBorder="1" applyAlignment="1"/>
    <xf numFmtId="0" fontId="6" fillId="2" borderId="15" xfId="0" applyFont="1" applyFill="1" applyBorder="1" applyAlignment="1"/>
    <xf numFmtId="0" fontId="4" fillId="2" borderId="14" xfId="0" applyFont="1" applyFill="1" applyBorder="1"/>
    <xf numFmtId="0" fontId="4" fillId="2" borderId="18" xfId="0" applyFont="1" applyFill="1" applyBorder="1"/>
    <xf numFmtId="0" fontId="4" fillId="2" borderId="43" xfId="0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2" fontId="4" fillId="2" borderId="23" xfId="0" applyNumberFormat="1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/>
    </xf>
    <xf numFmtId="2" fontId="4" fillId="2" borderId="22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0" fontId="4" fillId="2" borderId="41" xfId="0" applyFont="1" applyFill="1" applyBorder="1"/>
    <xf numFmtId="2" fontId="4" fillId="2" borderId="26" xfId="0" applyNumberFormat="1" applyFont="1" applyFill="1" applyBorder="1" applyAlignment="1">
      <alignment horizontal="center"/>
    </xf>
    <xf numFmtId="2" fontId="7" fillId="2" borderId="22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2" fontId="7" fillId="2" borderId="47" xfId="0" applyNumberFormat="1" applyFont="1" applyFill="1" applyBorder="1" applyAlignment="1">
      <alignment horizontal="center"/>
    </xf>
    <xf numFmtId="2" fontId="7" fillId="2" borderId="50" xfId="0" applyNumberFormat="1" applyFont="1" applyFill="1" applyBorder="1" applyAlignment="1">
      <alignment horizontal="center"/>
    </xf>
    <xf numFmtId="2" fontId="7" fillId="2" borderId="39" xfId="0" applyNumberFormat="1" applyFont="1" applyFill="1" applyBorder="1" applyAlignment="1">
      <alignment horizontal="center"/>
    </xf>
    <xf numFmtId="2" fontId="7" fillId="2" borderId="38" xfId="0" applyNumberFormat="1" applyFont="1" applyFill="1" applyBorder="1" applyAlignment="1">
      <alignment horizontal="center"/>
    </xf>
    <xf numFmtId="2" fontId="7" fillId="2" borderId="61" xfId="0" applyNumberFormat="1" applyFont="1" applyFill="1" applyBorder="1" applyAlignment="1">
      <alignment horizontal="center"/>
    </xf>
    <xf numFmtId="2" fontId="7" fillId="2" borderId="54" xfId="0" applyNumberFormat="1" applyFont="1" applyFill="1" applyBorder="1" applyAlignment="1">
      <alignment horizontal="center"/>
    </xf>
    <xf numFmtId="2" fontId="7" fillId="2" borderId="45" xfId="0" applyNumberFormat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35" xfId="0" applyNumberFormat="1" applyFont="1" applyFill="1" applyBorder="1" applyAlignment="1">
      <alignment horizontal="center"/>
    </xf>
    <xf numFmtId="2" fontId="7" fillId="2" borderId="30" xfId="0" applyNumberFormat="1" applyFont="1" applyFill="1" applyBorder="1" applyAlignment="1">
      <alignment horizontal="center"/>
    </xf>
    <xf numFmtId="2" fontId="7" fillId="2" borderId="29" xfId="0" applyNumberFormat="1" applyFont="1" applyFill="1" applyBorder="1" applyAlignment="1">
      <alignment horizontal="center"/>
    </xf>
    <xf numFmtId="2" fontId="4" fillId="2" borderId="27" xfId="0" applyNumberFormat="1" applyFont="1" applyFill="1" applyBorder="1" applyAlignment="1">
      <alignment horizontal="center"/>
    </xf>
    <xf numFmtId="2" fontId="4" fillId="2" borderId="3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35" xfId="0" applyNumberFormat="1" applyFont="1" applyFill="1" applyBorder="1" applyAlignment="1">
      <alignment horizontal="center"/>
    </xf>
    <xf numFmtId="2" fontId="4" fillId="2" borderId="30" xfId="0" applyNumberFormat="1" applyFont="1" applyFill="1" applyBorder="1" applyAlignment="1">
      <alignment horizontal="center"/>
    </xf>
    <xf numFmtId="2" fontId="4" fillId="2" borderId="29" xfId="0" applyNumberFormat="1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2" fontId="4" fillId="2" borderId="6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6" fillId="2" borderId="14" xfId="0" applyFont="1" applyFill="1" applyBorder="1" applyAlignment="1"/>
    <xf numFmtId="2" fontId="7" fillId="2" borderId="24" xfId="0" applyNumberFormat="1" applyFont="1" applyFill="1" applyBorder="1" applyAlignment="1">
      <alignment horizontal="center"/>
    </xf>
    <xf numFmtId="2" fontId="7" fillId="2" borderId="36" xfId="0" applyNumberFormat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5" fillId="2" borderId="62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/>
    </xf>
    <xf numFmtId="2" fontId="7" fillId="2" borderId="65" xfId="0" applyNumberFormat="1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28" xfId="0" applyNumberFormat="1" applyFont="1" applyFill="1" applyBorder="1" applyAlignment="1">
      <alignment horizontal="center"/>
    </xf>
    <xf numFmtId="2" fontId="4" fillId="2" borderId="48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2" fontId="4" fillId="2" borderId="47" xfId="0" applyNumberFormat="1" applyFont="1" applyFill="1" applyBorder="1" applyAlignment="1">
      <alignment horizontal="center"/>
    </xf>
    <xf numFmtId="2" fontId="4" fillId="2" borderId="54" xfId="0" applyNumberFormat="1" applyFont="1" applyFill="1" applyBorder="1" applyAlignment="1">
      <alignment horizontal="center"/>
    </xf>
    <xf numFmtId="2" fontId="4" fillId="2" borderId="50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" fontId="4" fillId="2" borderId="42" xfId="0" applyNumberFormat="1" applyFont="1" applyFill="1" applyBorder="1" applyAlignment="1">
      <alignment horizontal="center"/>
    </xf>
    <xf numFmtId="1" fontId="7" fillId="2" borderId="36" xfId="0" applyNumberFormat="1" applyFont="1" applyFill="1" applyBorder="1" applyAlignment="1">
      <alignment horizontal="center"/>
    </xf>
    <xf numFmtId="1" fontId="7" fillId="2" borderId="25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1" fontId="4" fillId="2" borderId="41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6" fillId="2" borderId="43" xfId="0" applyFont="1" applyFill="1" applyBorder="1" applyAlignment="1"/>
    <xf numFmtId="0" fontId="4" fillId="2" borderId="24" xfId="0" applyFont="1" applyFill="1" applyBorder="1"/>
    <xf numFmtId="2" fontId="9" fillId="2" borderId="23" xfId="0" applyNumberFormat="1" applyFont="1" applyFill="1" applyBorder="1" applyAlignment="1">
      <alignment horizontal="center"/>
    </xf>
    <xf numFmtId="2" fontId="7" fillId="2" borderId="27" xfId="0" applyNumberFormat="1" applyFont="1" applyFill="1" applyBorder="1" applyAlignment="1">
      <alignment horizontal="center"/>
    </xf>
    <xf numFmtId="2" fontId="7" fillId="2" borderId="32" xfId="0" applyNumberFormat="1" applyFont="1" applyFill="1" applyBorder="1" applyAlignment="1">
      <alignment horizontal="center"/>
    </xf>
    <xf numFmtId="2" fontId="4" fillId="2" borderId="33" xfId="0" applyNumberFormat="1" applyFont="1" applyFill="1" applyBorder="1" applyAlignment="1">
      <alignment horizontal="center"/>
    </xf>
    <xf numFmtId="2" fontId="7" fillId="2" borderId="60" xfId="0" applyNumberFormat="1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7" fillId="2" borderId="71" xfId="0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/>
    </xf>
    <xf numFmtId="0" fontId="5" fillId="2" borderId="73" xfId="0" applyFont="1" applyFill="1" applyBorder="1" applyAlignment="1">
      <alignment horizontal="center"/>
    </xf>
    <xf numFmtId="0" fontId="5" fillId="2" borderId="72" xfId="0" applyFont="1" applyFill="1" applyBorder="1" applyAlignment="1">
      <alignment horizontal="center"/>
    </xf>
    <xf numFmtId="0" fontId="5" fillId="2" borderId="74" xfId="0" applyFont="1" applyFill="1" applyBorder="1" applyAlignment="1">
      <alignment horizontal="center"/>
    </xf>
    <xf numFmtId="2" fontId="5" fillId="2" borderId="74" xfId="0" applyNumberFormat="1" applyFont="1" applyFill="1" applyBorder="1" applyAlignment="1">
      <alignment horizontal="center"/>
    </xf>
    <xf numFmtId="0" fontId="5" fillId="2" borderId="75" xfId="0" applyFont="1" applyFill="1" applyBorder="1" applyAlignment="1">
      <alignment horizontal="center"/>
    </xf>
    <xf numFmtId="0" fontId="4" fillId="2" borderId="76" xfId="0" applyFont="1" applyFill="1" applyBorder="1" applyAlignment="1">
      <alignment horizontal="center"/>
    </xf>
    <xf numFmtId="0" fontId="4" fillId="2" borderId="77" xfId="0" applyFont="1" applyFill="1" applyBorder="1" applyAlignment="1">
      <alignment horizontal="center"/>
    </xf>
    <xf numFmtId="0" fontId="7" fillId="2" borderId="78" xfId="0" applyFont="1" applyFill="1" applyBorder="1" applyAlignment="1">
      <alignment horizontal="center"/>
    </xf>
    <xf numFmtId="0" fontId="7" fillId="2" borderId="79" xfId="0" applyFont="1" applyFill="1" applyBorder="1" applyAlignment="1">
      <alignment horizontal="center"/>
    </xf>
    <xf numFmtId="0" fontId="4" fillId="2" borderId="78" xfId="0" applyFont="1" applyFill="1" applyBorder="1" applyAlignment="1">
      <alignment horizontal="center"/>
    </xf>
    <xf numFmtId="0" fontId="7" fillId="2" borderId="77" xfId="0" applyFont="1" applyFill="1" applyBorder="1" applyAlignment="1">
      <alignment horizontal="center"/>
    </xf>
    <xf numFmtId="0" fontId="7" fillId="2" borderId="80" xfId="0" applyFont="1" applyFill="1" applyBorder="1" applyAlignment="1">
      <alignment horizontal="center"/>
    </xf>
    <xf numFmtId="0" fontId="10" fillId="2" borderId="81" xfId="0" applyFont="1" applyFill="1" applyBorder="1" applyAlignment="1">
      <alignment horizontal="center"/>
    </xf>
    <xf numFmtId="0" fontId="4" fillId="2" borderId="82" xfId="0" applyFont="1" applyFill="1" applyBorder="1" applyAlignment="1">
      <alignment horizontal="center"/>
    </xf>
    <xf numFmtId="0" fontId="4" fillId="2" borderId="84" xfId="0" applyFont="1" applyFill="1" applyBorder="1" applyAlignment="1">
      <alignment horizontal="center"/>
    </xf>
    <xf numFmtId="0" fontId="1" fillId="2" borderId="83" xfId="0" applyFont="1" applyFill="1" applyBorder="1" applyAlignment="1"/>
    <xf numFmtId="0" fontId="2" fillId="2" borderId="83" xfId="0" applyFont="1" applyFill="1" applyBorder="1"/>
    <xf numFmtId="0" fontId="3" fillId="2" borderId="83" xfId="0" applyFont="1" applyFill="1" applyBorder="1"/>
    <xf numFmtId="0" fontId="0" fillId="2" borderId="83" xfId="0" applyFill="1" applyBorder="1"/>
    <xf numFmtId="0" fontId="4" fillId="2" borderId="86" xfId="0" applyFont="1" applyFill="1" applyBorder="1" applyAlignment="1">
      <alignment horizontal="center"/>
    </xf>
    <xf numFmtId="0" fontId="4" fillId="2" borderId="87" xfId="0" applyFont="1" applyFill="1" applyBorder="1"/>
    <xf numFmtId="0" fontId="4" fillId="2" borderId="88" xfId="0" applyFont="1" applyFill="1" applyBorder="1"/>
    <xf numFmtId="0" fontId="6" fillId="2" borderId="89" xfId="0" applyFont="1" applyFill="1" applyBorder="1" applyAlignment="1">
      <alignment horizontal="center"/>
    </xf>
    <xf numFmtId="0" fontId="4" fillId="2" borderId="90" xfId="0" applyFont="1" applyFill="1" applyBorder="1"/>
    <xf numFmtId="0" fontId="7" fillId="2" borderId="90" xfId="0" applyFont="1" applyFill="1" applyBorder="1"/>
    <xf numFmtId="0" fontId="4" fillId="2" borderId="91" xfId="0" applyFont="1" applyFill="1" applyBorder="1"/>
    <xf numFmtId="0" fontId="6" fillId="2" borderId="92" xfId="0" applyFont="1" applyFill="1" applyBorder="1" applyAlignment="1">
      <alignment horizontal="center"/>
    </xf>
    <xf numFmtId="0" fontId="7" fillId="2" borderId="91" xfId="0" applyFont="1" applyFill="1" applyBorder="1"/>
    <xf numFmtId="0" fontId="7" fillId="2" borderId="93" xfId="0" applyFont="1" applyFill="1" applyBorder="1"/>
    <xf numFmtId="0" fontId="7" fillId="2" borderId="94" xfId="0" applyFont="1" applyFill="1" applyBorder="1"/>
    <xf numFmtId="0" fontId="5" fillId="2" borderId="95" xfId="0" applyFont="1" applyFill="1" applyBorder="1"/>
    <xf numFmtId="0" fontId="4" fillId="2" borderId="97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7" fillId="2" borderId="82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2" fontId="4" fillId="2" borderId="61" xfId="0" applyNumberFormat="1" applyFont="1" applyFill="1" applyBorder="1" applyAlignment="1">
      <alignment horizontal="center"/>
    </xf>
    <xf numFmtId="0" fontId="7" fillId="2" borderId="87" xfId="0" applyFont="1" applyFill="1" applyBorder="1"/>
    <xf numFmtId="0" fontId="6" fillId="2" borderId="58" xfId="0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2" fontId="6" fillId="2" borderId="59" xfId="0" applyNumberFormat="1" applyFont="1" applyFill="1" applyBorder="1" applyAlignment="1">
      <alignment horizontal="center"/>
    </xf>
    <xf numFmtId="0" fontId="6" fillId="2" borderId="8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9" fillId="2" borderId="25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7" fillId="2" borderId="28" xfId="0" applyNumberFormat="1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4" fillId="2" borderId="30" xfId="0" applyFont="1" applyFill="1" applyBorder="1"/>
    <xf numFmtId="2" fontId="7" fillId="2" borderId="78" xfId="0" applyNumberFormat="1" applyFont="1" applyFill="1" applyBorder="1" applyAlignment="1">
      <alignment horizontal="center"/>
    </xf>
    <xf numFmtId="0" fontId="4" fillId="2" borderId="99" xfId="0" applyFont="1" applyFill="1" applyBorder="1" applyAlignment="1">
      <alignment horizontal="center"/>
    </xf>
    <xf numFmtId="0" fontId="7" fillId="2" borderId="99" xfId="0" applyFont="1" applyFill="1" applyBorder="1" applyAlignment="1">
      <alignment horizontal="center"/>
    </xf>
    <xf numFmtId="0" fontId="7" fillId="2" borderId="84" xfId="0" applyFont="1" applyFill="1" applyBorder="1" applyAlignment="1">
      <alignment horizontal="center"/>
    </xf>
    <xf numFmtId="0" fontId="4" fillId="2" borderId="82" xfId="0" applyFont="1" applyFill="1" applyBorder="1"/>
    <xf numFmtId="0" fontId="4" fillId="2" borderId="104" xfId="0" applyFont="1" applyFill="1" applyBorder="1" applyAlignment="1">
      <alignment horizontal="center"/>
    </xf>
    <xf numFmtId="0" fontId="6" fillId="2" borderId="105" xfId="0" applyFont="1" applyFill="1" applyBorder="1" applyAlignment="1">
      <alignment horizontal="center"/>
    </xf>
    <xf numFmtId="0" fontId="4" fillId="2" borderId="92" xfId="0" applyFont="1" applyFill="1" applyBorder="1"/>
    <xf numFmtId="0" fontId="7" fillId="2" borderId="106" xfId="0" applyFont="1" applyFill="1" applyBorder="1"/>
    <xf numFmtId="0" fontId="4" fillId="2" borderId="106" xfId="0" applyFont="1" applyFill="1" applyBorder="1"/>
    <xf numFmtId="0" fontId="6" fillId="2" borderId="106" xfId="0" applyFont="1" applyFill="1" applyBorder="1" applyAlignment="1">
      <alignment horizontal="center"/>
    </xf>
    <xf numFmtId="0" fontId="4" fillId="2" borderId="92" xfId="0" applyFont="1" applyFill="1" applyBorder="1" applyAlignment="1">
      <alignment horizontal="left"/>
    </xf>
    <xf numFmtId="0" fontId="7" fillId="2" borderId="107" xfId="0" applyFont="1" applyFill="1" applyBorder="1"/>
    <xf numFmtId="0" fontId="7" fillId="2" borderId="96" xfId="0" applyFont="1" applyFill="1" applyBorder="1"/>
    <xf numFmtId="0" fontId="4" fillId="2" borderId="85" xfId="0" applyFont="1" applyFill="1" applyBorder="1" applyAlignment="1">
      <alignment horizontal="center"/>
    </xf>
    <xf numFmtId="0" fontId="4" fillId="2" borderId="108" xfId="0" applyFont="1" applyFill="1" applyBorder="1"/>
    <xf numFmtId="0" fontId="4" fillId="2" borderId="109" xfId="0" applyFont="1" applyFill="1" applyBorder="1"/>
    <xf numFmtId="0" fontId="5" fillId="2" borderId="110" xfId="0" applyFont="1" applyFill="1" applyBorder="1" applyAlignment="1">
      <alignment horizontal="center"/>
    </xf>
    <xf numFmtId="0" fontId="6" fillId="2" borderId="19" xfId="0" applyFont="1" applyFill="1" applyBorder="1" applyAlignment="1"/>
    <xf numFmtId="0" fontId="9" fillId="2" borderId="2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2" borderId="111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112" xfId="0" applyFont="1" applyFill="1" applyBorder="1"/>
    <xf numFmtId="0" fontId="5" fillId="2" borderId="27" xfId="0" applyFont="1" applyFill="1" applyBorder="1" applyAlignment="1">
      <alignment horizontal="center" vertical="center"/>
    </xf>
    <xf numFmtId="0" fontId="4" fillId="2" borderId="29" xfId="0" applyFont="1" applyFill="1" applyBorder="1"/>
    <xf numFmtId="0" fontId="4" fillId="2" borderId="112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3" xfId="0" applyFont="1" applyFill="1" applyBorder="1" applyAlignment="1">
      <alignment horizontal="center"/>
    </xf>
    <xf numFmtId="2" fontId="4" fillId="2" borderId="40" xfId="0" applyNumberFormat="1" applyFont="1" applyFill="1" applyBorder="1" applyAlignment="1">
      <alignment horizontal="center"/>
    </xf>
    <xf numFmtId="2" fontId="4" fillId="2" borderId="37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96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14" xfId="0" applyFont="1" applyFill="1" applyBorder="1" applyAlignment="1">
      <alignment horizontal="center"/>
    </xf>
    <xf numFmtId="0" fontId="7" fillId="2" borderId="88" xfId="0" applyFont="1" applyFill="1" applyBorder="1"/>
    <xf numFmtId="0" fontId="7" fillId="2" borderId="38" xfId="0" applyFont="1" applyFill="1" applyBorder="1" applyAlignment="1">
      <alignment horizontal="center"/>
    </xf>
    <xf numFmtId="0" fontId="4" fillId="2" borderId="96" xfId="0" applyFont="1" applyFill="1" applyBorder="1"/>
    <xf numFmtId="0" fontId="4" fillId="2" borderId="83" xfId="0" applyFont="1" applyFill="1" applyBorder="1"/>
    <xf numFmtId="0" fontId="10" fillId="2" borderId="83" xfId="0" applyFont="1" applyFill="1" applyBorder="1"/>
    <xf numFmtId="0" fontId="5" fillId="2" borderId="115" xfId="0" applyFont="1" applyFill="1" applyBorder="1"/>
    <xf numFmtId="0" fontId="5" fillId="2" borderId="117" xfId="0" applyFont="1" applyFill="1" applyBorder="1" applyAlignment="1">
      <alignment horizontal="center"/>
    </xf>
    <xf numFmtId="0" fontId="7" fillId="2" borderId="119" xfId="0" applyFont="1" applyFill="1" applyBorder="1" applyAlignment="1">
      <alignment horizontal="center"/>
    </xf>
    <xf numFmtId="0" fontId="7" fillId="2" borderId="114" xfId="0" applyFont="1" applyFill="1" applyBorder="1"/>
    <xf numFmtId="0" fontId="7" fillId="2" borderId="115" xfId="0" applyFont="1" applyFill="1" applyBorder="1"/>
    <xf numFmtId="0" fontId="7" fillId="2" borderId="118" xfId="0" applyFont="1" applyFill="1" applyBorder="1" applyAlignment="1">
      <alignment horizontal="center"/>
    </xf>
    <xf numFmtId="0" fontId="7" fillId="2" borderId="121" xfId="0" applyFont="1" applyFill="1" applyBorder="1" applyAlignment="1">
      <alignment horizontal="center"/>
    </xf>
    <xf numFmtId="0" fontId="7" fillId="2" borderId="12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2" fontId="9" fillId="2" borderId="9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34" xfId="0" applyNumberFormat="1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3" xfId="0" applyFont="1" applyFill="1" applyBorder="1" applyAlignment="1">
      <alignment horizontal="center"/>
    </xf>
    <xf numFmtId="0" fontId="4" fillId="2" borderId="101" xfId="0" applyFont="1" applyFill="1" applyBorder="1" applyAlignment="1">
      <alignment horizontal="center"/>
    </xf>
    <xf numFmtId="0" fontId="4" fillId="2" borderId="66" xfId="0" applyFont="1" applyFill="1" applyBorder="1"/>
    <xf numFmtId="0" fontId="6" fillId="2" borderId="123" xfId="0" applyFont="1" applyFill="1" applyBorder="1" applyAlignment="1">
      <alignment horizontal="center"/>
    </xf>
    <xf numFmtId="1" fontId="4" fillId="2" borderId="78" xfId="0" applyNumberFormat="1" applyFont="1" applyFill="1" applyBorder="1" applyAlignment="1">
      <alignment horizontal="center"/>
    </xf>
    <xf numFmtId="0" fontId="7" fillId="2" borderId="90" xfId="0" applyFont="1" applyFill="1" applyBorder="1" applyAlignment="1">
      <alignment horizontal="left"/>
    </xf>
    <xf numFmtId="2" fontId="5" fillId="2" borderId="110" xfId="0" applyNumberFormat="1" applyFont="1" applyFill="1" applyBorder="1" applyAlignment="1">
      <alignment horizontal="center"/>
    </xf>
    <xf numFmtId="0" fontId="4" fillId="2" borderId="114" xfId="0" applyFont="1" applyFill="1" applyBorder="1"/>
    <xf numFmtId="0" fontId="4" fillId="2" borderId="115" xfId="0" applyFont="1" applyFill="1" applyBorder="1"/>
    <xf numFmtId="0" fontId="4" fillId="2" borderId="93" xfId="0" applyFont="1" applyFill="1" applyBorder="1"/>
    <xf numFmtId="2" fontId="7" fillId="2" borderId="46" xfId="0" applyNumberFormat="1" applyFont="1" applyFill="1" applyBorder="1" applyAlignment="1">
      <alignment horizontal="center"/>
    </xf>
    <xf numFmtId="2" fontId="7" fillId="2" borderId="3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2" fontId="4" fillId="2" borderId="34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0" fontId="10" fillId="2" borderId="119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/>
    </xf>
    <xf numFmtId="1" fontId="4" fillId="2" borderId="76" xfId="0" applyNumberFormat="1" applyFont="1" applyFill="1" applyBorder="1" applyAlignment="1">
      <alignment horizontal="center"/>
    </xf>
    <xf numFmtId="2" fontId="5" fillId="2" borderId="11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13" xfId="0" applyNumberFormat="1" applyFont="1" applyFill="1" applyBorder="1" applyAlignment="1">
      <alignment horizontal="center"/>
    </xf>
    <xf numFmtId="2" fontId="6" fillId="2" borderId="34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52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5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51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9" fillId="2" borderId="59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2" fontId="9" fillId="2" borderId="57" xfId="0" applyNumberFormat="1" applyFont="1" applyFill="1" applyBorder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2" fontId="7" fillId="2" borderId="118" xfId="0" applyNumberFormat="1" applyFont="1" applyFill="1" applyBorder="1" applyAlignment="1">
      <alignment horizontal="center"/>
    </xf>
    <xf numFmtId="2" fontId="7" fillId="2" borderId="121" xfId="0" applyNumberFormat="1" applyFont="1" applyFill="1" applyBorder="1" applyAlignment="1">
      <alignment horizontal="center"/>
    </xf>
    <xf numFmtId="2" fontId="7" fillId="2" borderId="122" xfId="0" applyNumberFormat="1" applyFont="1" applyFill="1" applyBorder="1" applyAlignment="1">
      <alignment horizontal="center"/>
    </xf>
    <xf numFmtId="2" fontId="7" fillId="2" borderId="110" xfId="0" applyNumberFormat="1" applyFont="1" applyFill="1" applyBorder="1" applyAlignment="1">
      <alignment horizontal="center"/>
    </xf>
    <xf numFmtId="2" fontId="5" fillId="2" borderId="73" xfId="0" applyNumberFormat="1" applyFont="1" applyFill="1" applyBorder="1" applyAlignment="1">
      <alignment horizontal="center"/>
    </xf>
    <xf numFmtId="2" fontId="5" fillId="2" borderId="72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/>
    <xf numFmtId="2" fontId="6" fillId="2" borderId="17" xfId="0" applyNumberFormat="1" applyFont="1" applyFill="1" applyBorder="1" applyAlignment="1"/>
    <xf numFmtId="2" fontId="4" fillId="2" borderId="14" xfId="0" applyNumberFormat="1" applyFont="1" applyFill="1" applyBorder="1"/>
    <xf numFmtId="2" fontId="4" fillId="2" borderId="19" xfId="0" applyNumberFormat="1" applyFont="1" applyFill="1" applyBorder="1"/>
    <xf numFmtId="2" fontId="4" fillId="2" borderId="18" xfId="0" applyNumberFormat="1" applyFont="1" applyFill="1" applyBorder="1"/>
    <xf numFmtId="2" fontId="4" fillId="2" borderId="112" xfId="0" applyNumberFormat="1" applyFont="1" applyFill="1" applyBorder="1"/>
    <xf numFmtId="2" fontId="4" fillId="2" borderId="28" xfId="0" applyNumberFormat="1" applyFont="1" applyFill="1" applyBorder="1"/>
    <xf numFmtId="2" fontId="4" fillId="2" borderId="29" xfId="0" applyNumberFormat="1" applyFont="1" applyFill="1" applyBorder="1"/>
    <xf numFmtId="2" fontId="4" fillId="2" borderId="18" xfId="0" applyNumberFormat="1" applyFont="1" applyFill="1" applyBorder="1" applyAlignment="1">
      <alignment horizontal="center"/>
    </xf>
    <xf numFmtId="2" fontId="4" fillId="2" borderId="112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113" xfId="0" applyNumberFormat="1" applyFont="1" applyFill="1" applyBorder="1" applyAlignment="1">
      <alignment horizontal="center"/>
    </xf>
    <xf numFmtId="2" fontId="4" fillId="2" borderId="55" xfId="0" applyNumberFormat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2" fontId="9" fillId="2" borderId="26" xfId="0" applyNumberFormat="1" applyFont="1" applyFill="1" applyBorder="1" applyAlignment="1">
      <alignment horizontal="center"/>
    </xf>
    <xf numFmtId="2" fontId="7" fillId="2" borderId="70" xfId="0" applyNumberFormat="1" applyFont="1" applyFill="1" applyBorder="1" applyAlignment="1">
      <alignment horizontal="center"/>
    </xf>
    <xf numFmtId="2" fontId="7" fillId="2" borderId="120" xfId="0" applyNumberFormat="1" applyFont="1" applyFill="1" applyBorder="1" applyAlignment="1">
      <alignment horizontal="center"/>
    </xf>
    <xf numFmtId="2" fontId="7" fillId="2" borderId="98" xfId="0" applyNumberFormat="1" applyFont="1" applyFill="1" applyBorder="1" applyAlignment="1">
      <alignment horizontal="center"/>
    </xf>
    <xf numFmtId="2" fontId="7" fillId="2" borderId="71" xfId="0" applyNumberFormat="1" applyFont="1" applyFill="1" applyBorder="1" applyAlignment="1">
      <alignment horizontal="center"/>
    </xf>
    <xf numFmtId="2" fontId="5" fillId="2" borderId="116" xfId="0" applyNumberFormat="1" applyFont="1" applyFill="1" applyBorder="1" applyAlignment="1">
      <alignment horizontal="center"/>
    </xf>
    <xf numFmtId="2" fontId="5" fillId="2" borderId="118" xfId="0" applyNumberFormat="1" applyFont="1" applyFill="1" applyBorder="1" applyAlignment="1">
      <alignment horizontal="center"/>
    </xf>
    <xf numFmtId="2" fontId="6" fillId="2" borderId="35" xfId="0" applyNumberFormat="1" applyFont="1" applyFill="1" applyBorder="1" applyAlignment="1"/>
    <xf numFmtId="2" fontId="4" fillId="2" borderId="35" xfId="0" applyNumberFormat="1" applyFont="1" applyFill="1" applyBorder="1"/>
    <xf numFmtId="2" fontId="4" fillId="2" borderId="16" xfId="0" applyNumberFormat="1" applyFont="1" applyFill="1" applyBorder="1"/>
    <xf numFmtId="2" fontId="4" fillId="2" borderId="17" xfId="0" applyNumberFormat="1" applyFont="1" applyFill="1" applyBorder="1"/>
    <xf numFmtId="2" fontId="4" fillId="2" borderId="43" xfId="0" applyNumberFormat="1" applyFont="1" applyFill="1" applyBorder="1" applyAlignment="1">
      <alignment horizontal="center"/>
    </xf>
    <xf numFmtId="2" fontId="4" fillId="2" borderId="27" xfId="0" applyNumberFormat="1" applyFont="1" applyFill="1" applyBorder="1" applyAlignment="1"/>
    <xf numFmtId="2" fontId="4" fillId="2" borderId="60" xfId="0" applyNumberFormat="1" applyFont="1" applyFill="1" applyBorder="1" applyAlignment="1"/>
    <xf numFmtId="2" fontId="4" fillId="2" borderId="55" xfId="0" applyNumberFormat="1" applyFont="1" applyFill="1" applyBorder="1" applyAlignment="1"/>
    <xf numFmtId="2" fontId="4" fillId="2" borderId="32" xfId="0" applyNumberFormat="1" applyFont="1" applyFill="1" applyBorder="1" applyAlignment="1"/>
    <xf numFmtId="2" fontId="4" fillId="2" borderId="33" xfId="0" applyNumberFormat="1" applyFont="1" applyFill="1" applyBorder="1" applyAlignment="1"/>
    <xf numFmtId="2" fontId="8" fillId="2" borderId="23" xfId="0" applyNumberFormat="1" applyFont="1" applyFill="1" applyBorder="1" applyAlignment="1">
      <alignment horizontal="center"/>
    </xf>
    <xf numFmtId="2" fontId="8" fillId="2" borderId="22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2" fontId="7" fillId="2" borderId="21" xfId="0" applyNumberFormat="1" applyFont="1" applyFill="1" applyBorder="1"/>
    <xf numFmtId="2" fontId="5" fillId="2" borderId="122" xfId="0" applyNumberFormat="1" applyFont="1" applyFill="1" applyBorder="1" applyAlignment="1">
      <alignment horizontal="center"/>
    </xf>
    <xf numFmtId="2" fontId="5" fillId="2" borderId="124" xfId="0" applyNumberFormat="1" applyFont="1" applyFill="1" applyBorder="1" applyAlignment="1">
      <alignment horizontal="center"/>
    </xf>
    <xf numFmtId="2" fontId="5" fillId="2" borderId="121" xfId="0" applyNumberFormat="1" applyFont="1" applyFill="1" applyBorder="1" applyAlignment="1">
      <alignment horizontal="center"/>
    </xf>
    <xf numFmtId="2" fontId="5" fillId="2" borderId="83" xfId="0" applyNumberFormat="1" applyFont="1" applyFill="1" applyBorder="1" applyAlignment="1">
      <alignment horizontal="center"/>
    </xf>
    <xf numFmtId="0" fontId="6" fillId="2" borderId="30" xfId="0" applyFont="1" applyFill="1" applyBorder="1" applyAlignment="1"/>
    <xf numFmtId="2" fontId="9" fillId="2" borderId="28" xfId="0" applyNumberFormat="1" applyFont="1" applyFill="1" applyBorder="1" applyAlignment="1">
      <alignment horizontal="center"/>
    </xf>
    <xf numFmtId="2" fontId="9" fillId="2" borderId="29" xfId="0" applyNumberFormat="1" applyFont="1" applyFill="1" applyBorder="1" applyAlignment="1">
      <alignment horizontal="center"/>
    </xf>
    <xf numFmtId="2" fontId="9" fillId="2" borderId="30" xfId="0" applyNumberFormat="1" applyFont="1" applyFill="1" applyBorder="1" applyAlignment="1">
      <alignment horizontal="center"/>
    </xf>
    <xf numFmtId="0" fontId="4" fillId="2" borderId="48" xfId="0" applyFont="1" applyFill="1" applyBorder="1"/>
    <xf numFmtId="2" fontId="4" fillId="2" borderId="64" xfId="0" applyNumberFormat="1" applyFont="1" applyFill="1" applyBorder="1" applyAlignment="1">
      <alignment horizontal="center"/>
    </xf>
    <xf numFmtId="0" fontId="4" fillId="2" borderId="103" xfId="0" applyFont="1" applyFill="1" applyBorder="1" applyAlignment="1">
      <alignment horizontal="center"/>
    </xf>
    <xf numFmtId="0" fontId="4" fillId="2" borderId="125" xfId="0" applyFont="1" applyFill="1" applyBorder="1"/>
    <xf numFmtId="0" fontId="7" fillId="2" borderId="109" xfId="0" applyFont="1" applyFill="1" applyBorder="1"/>
    <xf numFmtId="0" fontId="4" fillId="2" borderId="106" xfId="0" applyFont="1" applyFill="1" applyBorder="1" applyAlignment="1">
      <alignment horizontal="left"/>
    </xf>
    <xf numFmtId="2" fontId="4" fillId="2" borderId="31" xfId="0" applyNumberFormat="1" applyFont="1" applyFill="1" applyBorder="1" applyAlignment="1">
      <alignment horizontal="center"/>
    </xf>
    <xf numFmtId="0" fontId="6" fillId="2" borderId="13" xfId="0" applyFont="1" applyFill="1" applyBorder="1" applyAlignment="1"/>
    <xf numFmtId="0" fontId="7" fillId="2" borderId="20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6" fillId="2" borderId="112" xfId="0" applyFont="1" applyFill="1" applyBorder="1" applyAlignment="1"/>
    <xf numFmtId="0" fontId="4" fillId="2" borderId="13" xfId="0" applyFont="1" applyFill="1" applyBorder="1"/>
    <xf numFmtId="2" fontId="4" fillId="2" borderId="53" xfId="0" applyNumberFormat="1" applyFont="1" applyFill="1" applyBorder="1" applyAlignment="1">
      <alignment horizontal="center"/>
    </xf>
    <xf numFmtId="2" fontId="7" fillId="2" borderId="48" xfId="0" applyNumberFormat="1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2" fontId="7" fillId="2" borderId="53" xfId="0" applyNumberFormat="1" applyFont="1" applyFill="1" applyBorder="1" applyAlignment="1">
      <alignment horizontal="center"/>
    </xf>
    <xf numFmtId="1" fontId="7" fillId="2" borderId="44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1" fontId="7" fillId="2" borderId="4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2" fontId="7" fillId="2" borderId="31" xfId="0" applyNumberFormat="1" applyFont="1" applyFill="1" applyBorder="1" applyAlignment="1">
      <alignment horizontal="center"/>
    </xf>
    <xf numFmtId="2" fontId="5" fillId="2" borderId="111" xfId="0" applyNumberFormat="1" applyFont="1" applyFill="1" applyBorder="1" applyAlignment="1">
      <alignment horizontal="center"/>
    </xf>
    <xf numFmtId="0" fontId="4" fillId="2" borderId="81" xfId="0" applyFont="1" applyFill="1" applyBorder="1" applyAlignment="1">
      <alignment horizontal="center"/>
    </xf>
    <xf numFmtId="0" fontId="5" fillId="2" borderId="126" xfId="0" applyFont="1" applyFill="1" applyBorder="1"/>
    <xf numFmtId="1" fontId="5" fillId="2" borderId="72" xfId="0" applyNumberFormat="1" applyFont="1" applyFill="1" applyBorder="1" applyAlignment="1">
      <alignment horizontal="center"/>
    </xf>
    <xf numFmtId="1" fontId="7" fillId="2" borderId="81" xfId="0" applyNumberFormat="1" applyFont="1" applyFill="1" applyBorder="1" applyAlignment="1">
      <alignment horizontal="center"/>
    </xf>
    <xf numFmtId="1" fontId="4" fillId="2" borderId="77" xfId="0" applyNumberFormat="1" applyFont="1" applyFill="1" applyBorder="1" applyAlignment="1">
      <alignment horizontal="center"/>
    </xf>
    <xf numFmtId="1" fontId="7" fillId="2" borderId="78" xfId="0" applyNumberFormat="1" applyFont="1" applyFill="1" applyBorder="1" applyAlignment="1">
      <alignment horizontal="center"/>
    </xf>
    <xf numFmtId="1" fontId="7" fillId="2" borderId="99" xfId="0" applyNumberFormat="1" applyFont="1" applyFill="1" applyBorder="1" applyAlignment="1">
      <alignment horizontal="center"/>
    </xf>
    <xf numFmtId="1" fontId="7" fillId="2" borderId="76" xfId="0" applyNumberFormat="1" applyFont="1" applyFill="1" applyBorder="1" applyAlignment="1">
      <alignment horizontal="center"/>
    </xf>
    <xf numFmtId="1" fontId="4" fillId="2" borderId="84" xfId="0" applyNumberFormat="1" applyFont="1" applyFill="1" applyBorder="1" applyAlignment="1">
      <alignment horizontal="center"/>
    </xf>
    <xf numFmtId="1" fontId="7" fillId="2" borderId="77" xfId="0" applyNumberFormat="1" applyFont="1" applyFill="1" applyBorder="1" applyAlignment="1">
      <alignment horizontal="center"/>
    </xf>
    <xf numFmtId="1" fontId="7" fillId="2" borderId="65" xfId="0" applyNumberFormat="1" applyFont="1" applyFill="1" applyBorder="1" applyAlignment="1">
      <alignment horizontal="center"/>
    </xf>
    <xf numFmtId="0" fontId="4" fillId="2" borderId="67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13" xfId="0" applyFont="1" applyFill="1" applyBorder="1" applyAlignment="1">
      <alignment horizontal="center" vertical="center"/>
    </xf>
    <xf numFmtId="0" fontId="4" fillId="2" borderId="26" xfId="0" applyFont="1" applyFill="1" applyBorder="1"/>
    <xf numFmtId="2" fontId="4" fillId="2" borderId="68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0" fontId="6" fillId="2" borderId="24" xfId="0" applyFont="1" applyFill="1" applyBorder="1" applyAlignment="1"/>
    <xf numFmtId="0" fontId="6" fillId="2" borderId="26" xfId="0" applyFont="1" applyFill="1" applyBorder="1" applyAlignment="1"/>
    <xf numFmtId="2" fontId="7" fillId="2" borderId="40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0" fontId="6" fillId="2" borderId="127" xfId="0" applyFont="1" applyFill="1" applyBorder="1" applyAlignment="1">
      <alignment horizontal="center"/>
    </xf>
    <xf numFmtId="2" fontId="5" fillId="2" borderId="128" xfId="0" applyNumberFormat="1" applyFont="1" applyFill="1" applyBorder="1" applyAlignment="1">
      <alignment horizontal="center"/>
    </xf>
    <xf numFmtId="2" fontId="5" fillId="2" borderId="75" xfId="0" applyNumberFormat="1" applyFont="1" applyFill="1" applyBorder="1" applyAlignment="1">
      <alignment horizontal="center"/>
    </xf>
    <xf numFmtId="2" fontId="5" fillId="2" borderId="129" xfId="0" applyNumberFormat="1" applyFont="1" applyFill="1" applyBorder="1" applyAlignment="1">
      <alignment horizontal="center"/>
    </xf>
    <xf numFmtId="0" fontId="5" fillId="2" borderId="81" xfId="0" applyFont="1" applyFill="1" applyBorder="1" applyAlignment="1">
      <alignment horizontal="center"/>
    </xf>
    <xf numFmtId="0" fontId="4" fillId="2" borderId="107" xfId="0" applyFont="1" applyFill="1" applyBorder="1"/>
    <xf numFmtId="0" fontId="4" fillId="2" borderId="83" xfId="0" applyFont="1" applyFill="1" applyBorder="1" applyAlignment="1"/>
    <xf numFmtId="0" fontId="6" fillId="2" borderId="28" xfId="0" applyFont="1" applyFill="1" applyBorder="1" applyAlignment="1"/>
    <xf numFmtId="0" fontId="7" fillId="2" borderId="64" xfId="0" applyFont="1" applyFill="1" applyBorder="1" applyAlignment="1">
      <alignment horizontal="center"/>
    </xf>
    <xf numFmtId="2" fontId="7" fillId="2" borderId="63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2" fontId="4" fillId="2" borderId="76" xfId="0" applyNumberFormat="1" applyFont="1" applyFill="1" applyBorder="1" applyAlignment="1">
      <alignment horizontal="center"/>
    </xf>
    <xf numFmtId="0" fontId="4" fillId="2" borderId="79" xfId="0" applyFont="1" applyFill="1" applyBorder="1" applyAlignment="1">
      <alignment horizontal="center"/>
    </xf>
    <xf numFmtId="0" fontId="6" fillId="2" borderId="48" xfId="0" applyFont="1" applyFill="1" applyBorder="1" applyAlignment="1"/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2" fontId="7" fillId="2" borderId="34" xfId="0" applyNumberFormat="1" applyFont="1" applyFill="1" applyBorder="1" applyAlignment="1">
      <alignment horizontal="center"/>
    </xf>
    <xf numFmtId="2" fontId="7" fillId="2" borderId="99" xfId="0" applyNumberFormat="1" applyFont="1" applyFill="1" applyBorder="1" applyAlignment="1">
      <alignment horizontal="center"/>
    </xf>
    <xf numFmtId="0" fontId="6" fillId="2" borderId="93" xfId="0" applyFont="1" applyFill="1" applyBorder="1" applyAlignment="1">
      <alignment horizontal="center"/>
    </xf>
    <xf numFmtId="2" fontId="4" fillId="2" borderId="78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2" fontId="14" fillId="0" borderId="0" xfId="0" applyNumberFormat="1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3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4" fillId="2" borderId="57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02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/>
    </xf>
    <xf numFmtId="0" fontId="4" fillId="2" borderId="100" xfId="0" applyFont="1" applyFill="1" applyBorder="1" applyAlignment="1">
      <alignment horizontal="center"/>
    </xf>
    <xf numFmtId="0" fontId="4" fillId="2" borderId="10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103" xfId="0" applyFont="1" applyFill="1" applyBorder="1"/>
    <xf numFmtId="0" fontId="4" fillId="2" borderId="102" xfId="0" applyFont="1" applyFill="1" applyBorder="1"/>
    <xf numFmtId="0" fontId="4" fillId="2" borderId="0" xfId="0" applyFont="1" applyFill="1" applyBorder="1"/>
    <xf numFmtId="0" fontId="4" fillId="0" borderId="0" xfId="0" applyFont="1" applyAlignment="1">
      <alignment horizontal="left" wrapText="1"/>
    </xf>
    <xf numFmtId="0" fontId="4" fillId="2" borderId="31" xfId="0" applyFont="1" applyFill="1" applyBorder="1" applyAlignment="1">
      <alignment horizontal="center" vertical="center"/>
    </xf>
    <xf numFmtId="0" fontId="4" fillId="2" borderId="3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8"/>
  <sheetViews>
    <sheetView tabSelected="1" view="pageLayout" topLeftCell="A37" zoomScale="61" zoomScaleNormal="80" zoomScalePageLayoutView="61" workbookViewId="0">
      <selection activeCell="L3" sqref="L3"/>
    </sheetView>
  </sheetViews>
  <sheetFormatPr defaultRowHeight="15" x14ac:dyDescent="0.25"/>
  <cols>
    <col min="1" max="1" width="55.28515625" customWidth="1"/>
    <col min="2" max="2" width="10.7109375" customWidth="1"/>
    <col min="3" max="3" width="10.85546875" customWidth="1"/>
    <col min="8" max="8" width="9.5703125" customWidth="1"/>
    <col min="9" max="9" width="9.7109375" customWidth="1"/>
    <col min="10" max="10" width="10.5703125" customWidth="1"/>
    <col min="11" max="11" width="10.42578125" customWidth="1"/>
    <col min="15" max="15" width="10.7109375" customWidth="1"/>
  </cols>
  <sheetData>
    <row r="1" spans="1:16" ht="22.5" customHeight="1" x14ac:dyDescent="0.25">
      <c r="A1" s="5"/>
      <c r="B1" s="5"/>
      <c r="C1" s="5"/>
      <c r="D1" s="5"/>
      <c r="E1" s="6"/>
      <c r="F1" s="5"/>
      <c r="G1" s="5"/>
      <c r="H1" s="5"/>
      <c r="I1" s="6" t="s">
        <v>87</v>
      </c>
      <c r="J1" s="6"/>
      <c r="K1" s="6"/>
      <c r="L1" s="6"/>
      <c r="M1" s="6"/>
      <c r="N1" s="6"/>
      <c r="O1" s="2"/>
      <c r="P1" s="1"/>
    </row>
    <row r="2" spans="1:16" ht="15.6" customHeight="1" x14ac:dyDescent="0.25">
      <c r="A2" s="5"/>
      <c r="B2" s="5"/>
      <c r="C2" s="5"/>
      <c r="D2" s="5"/>
      <c r="E2" s="6"/>
      <c r="F2" s="5"/>
      <c r="G2" s="5"/>
      <c r="H2" s="5"/>
      <c r="I2" s="6" t="s">
        <v>0</v>
      </c>
      <c r="J2" s="6"/>
      <c r="K2" s="6"/>
      <c r="L2" s="6"/>
      <c r="M2" s="6"/>
      <c r="N2" s="6"/>
      <c r="O2" s="2"/>
      <c r="P2" s="1"/>
    </row>
    <row r="3" spans="1:16" ht="21.75" customHeight="1" x14ac:dyDescent="0.25">
      <c r="A3" s="5"/>
      <c r="B3" s="5"/>
      <c r="C3" s="5"/>
      <c r="D3" s="5"/>
      <c r="E3" s="6"/>
      <c r="F3" s="5"/>
      <c r="G3" s="5"/>
      <c r="H3" s="5"/>
      <c r="I3" s="6" t="s">
        <v>133</v>
      </c>
      <c r="J3" s="6"/>
      <c r="K3" s="6"/>
      <c r="L3" s="6">
        <v>8</v>
      </c>
      <c r="M3" s="6"/>
      <c r="N3" s="6"/>
      <c r="O3" s="2"/>
      <c r="P3" s="1"/>
    </row>
    <row r="4" spans="1:16" ht="19.5" customHeight="1" x14ac:dyDescent="0.25">
      <c r="A4" s="5"/>
      <c r="B4" s="5"/>
      <c r="C4" s="5"/>
      <c r="D4" s="5"/>
      <c r="E4" s="6"/>
      <c r="F4" s="5"/>
      <c r="G4" s="5"/>
      <c r="H4" s="5"/>
      <c r="I4" s="6" t="s">
        <v>60</v>
      </c>
      <c r="J4" s="6"/>
      <c r="K4" s="6"/>
      <c r="L4" s="6" t="s">
        <v>61</v>
      </c>
      <c r="M4" s="6"/>
      <c r="N4" s="6"/>
      <c r="O4" s="2"/>
      <c r="P4" s="1"/>
    </row>
    <row r="5" spans="1:16" ht="15.75" x14ac:dyDescent="0.2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3"/>
      <c r="L5" s="3"/>
      <c r="M5" s="3"/>
      <c r="N5" s="5"/>
      <c r="O5" s="1"/>
      <c r="P5" s="1"/>
    </row>
    <row r="6" spans="1:16" ht="15.75" x14ac:dyDescent="0.25">
      <c r="A6" s="7" t="s">
        <v>134</v>
      </c>
      <c r="B6" s="7"/>
      <c r="C6" s="7"/>
      <c r="D6" s="7"/>
      <c r="E6" s="7"/>
      <c r="F6" s="7"/>
      <c r="G6" s="7"/>
      <c r="H6" s="7"/>
      <c r="I6" s="7"/>
      <c r="J6" s="7"/>
      <c r="K6" s="3"/>
      <c r="L6" s="3"/>
      <c r="M6" s="3"/>
      <c r="N6" s="5"/>
      <c r="O6" s="1"/>
      <c r="P6" s="1"/>
    </row>
    <row r="7" spans="1:16" ht="16.149999999999999" x14ac:dyDescent="0.35">
      <c r="A7" s="5"/>
      <c r="B7" s="7"/>
      <c r="C7" s="7"/>
      <c r="D7" s="7"/>
      <c r="E7" s="7"/>
      <c r="F7" s="7"/>
      <c r="G7" s="7"/>
      <c r="H7" s="7"/>
      <c r="I7" s="7"/>
      <c r="J7" s="7"/>
      <c r="K7" s="3"/>
      <c r="L7" s="3"/>
      <c r="M7" s="3"/>
      <c r="N7" s="5"/>
      <c r="O7" s="1"/>
      <c r="P7" s="1"/>
    </row>
    <row r="8" spans="1:16" ht="15.75" x14ac:dyDescent="0.25">
      <c r="A8" s="4" t="s">
        <v>86</v>
      </c>
      <c r="B8" s="7"/>
      <c r="C8" s="7"/>
      <c r="D8" s="7"/>
      <c r="E8" s="7"/>
      <c r="F8" s="7"/>
      <c r="G8" s="7"/>
      <c r="H8" s="7"/>
      <c r="I8" s="7"/>
      <c r="J8" s="7"/>
      <c r="K8" s="3"/>
      <c r="L8" s="3"/>
      <c r="M8" s="3"/>
      <c r="N8" s="5"/>
      <c r="O8" s="1"/>
      <c r="P8" s="1"/>
    </row>
    <row r="9" spans="1:16" s="1" customFormat="1" ht="18.75" customHeight="1" x14ac:dyDescent="0.25">
      <c r="A9" s="508" t="s">
        <v>51</v>
      </c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3"/>
      <c r="N9" s="5"/>
    </row>
    <row r="10" spans="1:16" s="1" customFormat="1" ht="18.75" customHeight="1" x14ac:dyDescent="0.25">
      <c r="A10" s="5" t="s">
        <v>52</v>
      </c>
      <c r="B10" s="5"/>
      <c r="C10" s="5"/>
      <c r="D10" s="5"/>
      <c r="E10" s="5"/>
      <c r="F10" s="5"/>
      <c r="G10" s="8"/>
      <c r="H10" s="8"/>
      <c r="I10" s="8"/>
      <c r="J10" s="8"/>
      <c r="K10" s="8"/>
      <c r="L10" s="8"/>
      <c r="M10" s="3"/>
      <c r="N10" s="5"/>
    </row>
    <row r="11" spans="1:16" s="1" customFormat="1" ht="19.5" customHeight="1" x14ac:dyDescent="0.25">
      <c r="A11" s="5" t="s">
        <v>53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3"/>
      <c r="N11" s="5"/>
    </row>
    <row r="12" spans="1:16" s="1" customFormat="1" ht="19.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3"/>
      <c r="N12" s="5"/>
    </row>
    <row r="13" spans="1:16" ht="17.25" thickBot="1" x14ac:dyDescent="0.35">
      <c r="A13" s="459" t="s">
        <v>90</v>
      </c>
      <c r="B13" s="459" t="s">
        <v>128</v>
      </c>
      <c r="C13" s="294"/>
      <c r="D13" s="293"/>
      <c r="E13" s="293"/>
      <c r="F13" s="294" t="s">
        <v>2</v>
      </c>
      <c r="G13" s="210"/>
      <c r="H13" s="210"/>
      <c r="I13" s="210"/>
      <c r="J13" s="210"/>
      <c r="K13" s="210"/>
      <c r="L13" s="211"/>
      <c r="M13" s="211"/>
      <c r="N13" s="211"/>
      <c r="O13" s="211"/>
      <c r="P13" s="1"/>
    </row>
    <row r="14" spans="1:16" ht="16.5" thickTop="1" x14ac:dyDescent="0.25">
      <c r="A14" s="212" t="s">
        <v>3</v>
      </c>
      <c r="B14" s="501" t="s">
        <v>4</v>
      </c>
      <c r="C14" s="502"/>
      <c r="D14" s="500" t="s">
        <v>5</v>
      </c>
      <c r="E14" s="499"/>
      <c r="F14" s="500" t="s">
        <v>6</v>
      </c>
      <c r="G14" s="499"/>
      <c r="H14" s="500" t="s">
        <v>62</v>
      </c>
      <c r="I14" s="499"/>
      <c r="J14" s="500" t="s">
        <v>7</v>
      </c>
      <c r="K14" s="499"/>
      <c r="L14" s="500" t="s">
        <v>72</v>
      </c>
      <c r="M14" s="499"/>
      <c r="N14" s="130" t="s">
        <v>8</v>
      </c>
      <c r="O14" s="224" t="s">
        <v>8</v>
      </c>
      <c r="P14" s="1"/>
    </row>
    <row r="15" spans="1:16" ht="16.5" thickBot="1" x14ac:dyDescent="0.3">
      <c r="A15" s="213"/>
      <c r="B15" s="489" t="s">
        <v>9</v>
      </c>
      <c r="C15" s="496"/>
      <c r="D15" s="489" t="s">
        <v>9</v>
      </c>
      <c r="E15" s="496"/>
      <c r="F15" s="489" t="s">
        <v>9</v>
      </c>
      <c r="G15" s="496"/>
      <c r="H15" s="489" t="s">
        <v>9</v>
      </c>
      <c r="I15" s="496"/>
      <c r="J15" s="483"/>
      <c r="K15" s="484"/>
      <c r="L15" s="489" t="s">
        <v>10</v>
      </c>
      <c r="M15" s="496"/>
      <c r="N15" s="110" t="s">
        <v>11</v>
      </c>
      <c r="O15" s="206" t="s">
        <v>11</v>
      </c>
      <c r="P15" s="1"/>
    </row>
    <row r="16" spans="1:16" ht="16.5" thickBot="1" x14ac:dyDescent="0.3">
      <c r="A16" s="214"/>
      <c r="B16" s="26" t="s">
        <v>12</v>
      </c>
      <c r="C16" s="25" t="s">
        <v>13</v>
      </c>
      <c r="D16" s="26" t="s">
        <v>12</v>
      </c>
      <c r="E16" s="25" t="s">
        <v>13</v>
      </c>
      <c r="F16" s="26" t="s">
        <v>12</v>
      </c>
      <c r="G16" s="25" t="s">
        <v>13</v>
      </c>
      <c r="H16" s="26" t="s">
        <v>12</v>
      </c>
      <c r="I16" s="25" t="s">
        <v>13</v>
      </c>
      <c r="J16" s="24" t="s">
        <v>12</v>
      </c>
      <c r="K16" s="172" t="s">
        <v>13</v>
      </c>
      <c r="L16" s="26" t="s">
        <v>12</v>
      </c>
      <c r="M16" s="25" t="s">
        <v>13</v>
      </c>
      <c r="N16" s="183"/>
      <c r="O16" s="198"/>
      <c r="P16" s="1"/>
    </row>
    <row r="17" spans="1:16" ht="18.75" customHeight="1" x14ac:dyDescent="0.25">
      <c r="A17" s="215" t="s">
        <v>14</v>
      </c>
      <c r="B17" s="111"/>
      <c r="C17" s="112"/>
      <c r="D17" s="343"/>
      <c r="E17" s="344"/>
      <c r="F17" s="345"/>
      <c r="G17" s="346"/>
      <c r="H17" s="345"/>
      <c r="I17" s="347"/>
      <c r="J17" s="348"/>
      <c r="K17" s="347"/>
      <c r="L17" s="345"/>
      <c r="M17" s="346"/>
      <c r="N17" s="113"/>
      <c r="O17" s="199"/>
      <c r="P17" s="1"/>
    </row>
    <row r="18" spans="1:16" ht="15.75" x14ac:dyDescent="0.25">
      <c r="A18" s="216" t="s">
        <v>74</v>
      </c>
      <c r="B18" s="39">
        <v>150</v>
      </c>
      <c r="C18" s="40">
        <v>200</v>
      </c>
      <c r="D18" s="55">
        <v>2.25</v>
      </c>
      <c r="E18" s="56">
        <v>3</v>
      </c>
      <c r="F18" s="55">
        <v>6</v>
      </c>
      <c r="G18" s="56">
        <v>8</v>
      </c>
      <c r="H18" s="55">
        <v>23.7</v>
      </c>
      <c r="I18" s="58">
        <v>31.6</v>
      </c>
      <c r="J18" s="282">
        <v>160.5</v>
      </c>
      <c r="K18" s="58">
        <v>214</v>
      </c>
      <c r="L18" s="55"/>
      <c r="M18" s="56"/>
      <c r="N18" s="44"/>
      <c r="O18" s="200">
        <v>96</v>
      </c>
      <c r="P18" s="1"/>
    </row>
    <row r="19" spans="1:16" ht="15.75" x14ac:dyDescent="0.25">
      <c r="A19" s="216" t="s">
        <v>75</v>
      </c>
      <c r="B19" s="46">
        <v>35</v>
      </c>
      <c r="C19" s="44">
        <v>35</v>
      </c>
      <c r="D19" s="88">
        <v>2.42</v>
      </c>
      <c r="E19" s="89">
        <v>2.42</v>
      </c>
      <c r="F19" s="88">
        <v>3.9249999999999998</v>
      </c>
      <c r="G19" s="89">
        <v>3.9249999999999998</v>
      </c>
      <c r="H19" s="88">
        <v>14.57</v>
      </c>
      <c r="I19" s="89">
        <v>14.57</v>
      </c>
      <c r="J19" s="91">
        <v>103.96</v>
      </c>
      <c r="K19" s="89">
        <v>103.96</v>
      </c>
      <c r="L19" s="88"/>
      <c r="M19" s="90"/>
      <c r="N19" s="44">
        <v>1</v>
      </c>
      <c r="O19" s="200"/>
      <c r="P19" s="1"/>
    </row>
    <row r="20" spans="1:16" ht="16.5" thickBot="1" x14ac:dyDescent="0.3">
      <c r="A20" s="220" t="s">
        <v>76</v>
      </c>
      <c r="B20" s="231" t="s">
        <v>88</v>
      </c>
      <c r="C20" s="160" t="s">
        <v>71</v>
      </c>
      <c r="D20" s="232">
        <f>0.04/15*16</f>
        <v>4.2666666666666665E-2</v>
      </c>
      <c r="E20" s="162">
        <f>0.07/2*1.8</f>
        <v>6.3000000000000014E-2</v>
      </c>
      <c r="F20" s="232">
        <f>0.01/15*16</f>
        <v>1.0666666666666666E-2</v>
      </c>
      <c r="G20" s="162">
        <f>0.02/2*1.8</f>
        <v>1.8000000000000002E-2</v>
      </c>
      <c r="H20" s="232">
        <f>6.99/15*16</f>
        <v>7.4560000000000004</v>
      </c>
      <c r="I20" s="162">
        <f>11.1/2*1.8</f>
        <v>9.99</v>
      </c>
      <c r="J20" s="161">
        <f>28/15*16</f>
        <v>29.866666666666667</v>
      </c>
      <c r="K20" s="163">
        <f>44.44/2*1.8</f>
        <v>39.996000000000002</v>
      </c>
      <c r="L20" s="232">
        <f>0.02/15*16</f>
        <v>2.1333333333333333E-2</v>
      </c>
      <c r="M20" s="162">
        <f>0.03/2*1.8</f>
        <v>2.7E-2</v>
      </c>
      <c r="N20" s="185" t="s">
        <v>17</v>
      </c>
      <c r="O20" s="201"/>
      <c r="P20" s="1"/>
    </row>
    <row r="21" spans="1:16" s="1" customFormat="1" ht="16.899999999999999" thickBot="1" x14ac:dyDescent="0.4">
      <c r="A21" s="213"/>
      <c r="B21" s="229">
        <f>SUM(B18:B20)+167</f>
        <v>352</v>
      </c>
      <c r="C21" s="230">
        <f>SUM(C18:C20)+190</f>
        <v>425</v>
      </c>
      <c r="D21" s="236">
        <f t="shared" ref="D21:M21" si="0">SUM(D18:D20)</f>
        <v>4.7126666666666663</v>
      </c>
      <c r="E21" s="349">
        <f t="shared" si="0"/>
        <v>5.4829999999999997</v>
      </c>
      <c r="F21" s="236">
        <f t="shared" si="0"/>
        <v>9.935666666666668</v>
      </c>
      <c r="G21" s="349">
        <f t="shared" si="0"/>
        <v>11.943000000000001</v>
      </c>
      <c r="H21" s="236">
        <f t="shared" si="0"/>
        <v>45.725999999999999</v>
      </c>
      <c r="I21" s="349">
        <f t="shared" si="0"/>
        <v>56.160000000000004</v>
      </c>
      <c r="J21" s="164">
        <f t="shared" si="0"/>
        <v>294.32666666666665</v>
      </c>
      <c r="K21" s="349">
        <f t="shared" si="0"/>
        <v>357.95599999999996</v>
      </c>
      <c r="L21" s="236">
        <f t="shared" si="0"/>
        <v>2.1333333333333333E-2</v>
      </c>
      <c r="M21" s="349">
        <f t="shared" si="0"/>
        <v>2.7E-2</v>
      </c>
      <c r="N21" s="229"/>
      <c r="O21" s="227"/>
    </row>
    <row r="22" spans="1:16" ht="16.5" thickBot="1" x14ac:dyDescent="0.3">
      <c r="A22" s="237" t="s">
        <v>18</v>
      </c>
      <c r="B22" s="238"/>
      <c r="C22" s="239"/>
      <c r="D22" s="326"/>
      <c r="E22" s="328"/>
      <c r="F22" s="326"/>
      <c r="G22" s="328"/>
      <c r="H22" s="326"/>
      <c r="I22" s="330"/>
      <c r="J22" s="327"/>
      <c r="K22" s="330"/>
      <c r="L22" s="326"/>
      <c r="M22" s="328"/>
      <c r="N22" s="183"/>
      <c r="O22" s="198"/>
      <c r="P22" s="1"/>
    </row>
    <row r="23" spans="1:16" ht="16.5" thickBot="1" x14ac:dyDescent="0.3">
      <c r="A23" s="233" t="s">
        <v>77</v>
      </c>
      <c r="B23" s="229">
        <v>75</v>
      </c>
      <c r="C23" s="234">
        <v>90</v>
      </c>
      <c r="D23" s="236">
        <f>2.25/2</f>
        <v>1.125</v>
      </c>
      <c r="E23" s="235">
        <f>2.7/2</f>
        <v>1.35</v>
      </c>
      <c r="F23" s="236">
        <f>0.75/2</f>
        <v>0.375</v>
      </c>
      <c r="G23" s="235">
        <f>0.9/2</f>
        <v>0.45</v>
      </c>
      <c r="H23" s="236">
        <f>31.5/2</f>
        <v>15.75</v>
      </c>
      <c r="I23" s="235">
        <f>37.8/2</f>
        <v>18.899999999999999</v>
      </c>
      <c r="J23" s="164">
        <f>142.5/2</f>
        <v>71.25</v>
      </c>
      <c r="K23" s="349">
        <f>171/2</f>
        <v>85.5</v>
      </c>
      <c r="L23" s="236">
        <v>7.5</v>
      </c>
      <c r="M23" s="349">
        <v>9</v>
      </c>
      <c r="N23" s="110">
        <v>386</v>
      </c>
      <c r="O23" s="227"/>
      <c r="P23" s="1"/>
    </row>
    <row r="24" spans="1:16" ht="15.75" x14ac:dyDescent="0.25">
      <c r="A24" s="219" t="s">
        <v>19</v>
      </c>
      <c r="B24" s="108"/>
      <c r="C24" s="127"/>
      <c r="D24" s="119"/>
      <c r="E24" s="128"/>
      <c r="F24" s="119"/>
      <c r="G24" s="128"/>
      <c r="H24" s="119"/>
      <c r="I24" s="178"/>
      <c r="J24" s="120"/>
      <c r="K24" s="178"/>
      <c r="L24" s="119"/>
      <c r="M24" s="128"/>
      <c r="N24" s="145"/>
      <c r="O24" s="199"/>
      <c r="P24" s="1"/>
    </row>
    <row r="25" spans="1:16" ht="15.75" x14ac:dyDescent="0.25">
      <c r="A25" s="216" t="s">
        <v>131</v>
      </c>
      <c r="B25" s="46">
        <v>30</v>
      </c>
      <c r="C25" s="44">
        <f>60/6*5</f>
        <v>50</v>
      </c>
      <c r="D25" s="88">
        <v>0.23</v>
      </c>
      <c r="E25" s="89">
        <f>0.46/6*5</f>
        <v>0.38333333333333336</v>
      </c>
      <c r="F25" s="88">
        <f>3.65/2</f>
        <v>1.825</v>
      </c>
      <c r="G25" s="89">
        <f>3.65/6*5</f>
        <v>3.0416666666666665</v>
      </c>
      <c r="H25" s="88">
        <f>1.42/2</f>
        <v>0.71</v>
      </c>
      <c r="I25" s="89">
        <f>1.42/6*5</f>
        <v>1.1833333333333333</v>
      </c>
      <c r="J25" s="91">
        <v>20.190000000000001</v>
      </c>
      <c r="K25" s="89">
        <f>40.38/6*5</f>
        <v>33.650000000000006</v>
      </c>
      <c r="L25" s="88">
        <f>5.76/2</f>
        <v>2.88</v>
      </c>
      <c r="M25" s="89">
        <f>5.76/6*5</f>
        <v>4.8</v>
      </c>
      <c r="N25" s="130">
        <v>13</v>
      </c>
      <c r="O25" s="200"/>
      <c r="P25" s="1"/>
    </row>
    <row r="26" spans="1:16" ht="15.75" x14ac:dyDescent="0.25">
      <c r="A26" s="216" t="s">
        <v>78</v>
      </c>
      <c r="B26" s="114">
        <v>150</v>
      </c>
      <c r="C26" s="63">
        <f>200/2*1.8</f>
        <v>180</v>
      </c>
      <c r="D26" s="88">
        <v>1.3</v>
      </c>
      <c r="E26" s="90">
        <f>1.74/2*1.8</f>
        <v>1.5660000000000001</v>
      </c>
      <c r="F26" s="88">
        <v>3.14</v>
      </c>
      <c r="G26" s="90">
        <f>4.18/2*1.8</f>
        <v>3.762</v>
      </c>
      <c r="H26" s="88">
        <v>5.12</v>
      </c>
      <c r="I26" s="89">
        <f>6.81/2*1.8</f>
        <v>6.1289999999999996</v>
      </c>
      <c r="J26" s="91">
        <v>53.85</v>
      </c>
      <c r="K26" s="89">
        <f>71.8/2*1.8</f>
        <v>64.62</v>
      </c>
      <c r="L26" s="88">
        <v>11.07</v>
      </c>
      <c r="M26" s="90">
        <f>14.77/2*1.8</f>
        <v>13.292999999999999</v>
      </c>
      <c r="N26" s="44" t="s">
        <v>20</v>
      </c>
      <c r="O26" s="202"/>
      <c r="P26" s="1"/>
    </row>
    <row r="27" spans="1:16" ht="15.75" x14ac:dyDescent="0.25">
      <c r="A27" s="217" t="s">
        <v>65</v>
      </c>
      <c r="B27" s="64">
        <f>60/6*5</f>
        <v>50</v>
      </c>
      <c r="C27" s="65">
        <f>80/8*7</f>
        <v>70</v>
      </c>
      <c r="D27" s="115">
        <f>6.26/6*5</f>
        <v>5.2166666666666659</v>
      </c>
      <c r="E27" s="116">
        <f>8.33/8*7</f>
        <v>7.2887500000000003</v>
      </c>
      <c r="F27" s="115">
        <f>19.3/6*5</f>
        <v>16.083333333333336</v>
      </c>
      <c r="G27" s="116">
        <f>25.63/8*7</f>
        <v>22.42625</v>
      </c>
      <c r="H27" s="115">
        <f>8.97/6*5</f>
        <v>7.4750000000000005</v>
      </c>
      <c r="I27" s="118">
        <f>11.64/8*7</f>
        <v>10.185</v>
      </c>
      <c r="J27" s="242">
        <f>235/6*5</f>
        <v>195.83333333333331</v>
      </c>
      <c r="K27" s="118">
        <f>311/8*7</f>
        <v>272.125</v>
      </c>
      <c r="L27" s="115"/>
      <c r="M27" s="116"/>
      <c r="N27" s="54">
        <v>299</v>
      </c>
      <c r="O27" s="202"/>
      <c r="P27" s="1"/>
    </row>
    <row r="28" spans="1:16" ht="15.75" x14ac:dyDescent="0.25">
      <c r="A28" s="217" t="s">
        <v>79</v>
      </c>
      <c r="B28" s="46">
        <f>120/12*10</f>
        <v>100</v>
      </c>
      <c r="C28" s="44">
        <f>150/15*12</f>
        <v>120</v>
      </c>
      <c r="D28" s="119">
        <f>2.45/12*10</f>
        <v>2.041666666666667</v>
      </c>
      <c r="E28" s="89">
        <f>3.06/15*12</f>
        <v>2.4480000000000004</v>
      </c>
      <c r="F28" s="88">
        <f>3.84/12*10</f>
        <v>3.2</v>
      </c>
      <c r="G28" s="89">
        <f>4.8/15*12</f>
        <v>3.84</v>
      </c>
      <c r="H28" s="119">
        <f>16.35/12*10</f>
        <v>13.625</v>
      </c>
      <c r="I28" s="89">
        <f>20.44/15*12</f>
        <v>16.352</v>
      </c>
      <c r="J28" s="91">
        <f>110/12*10</f>
        <v>91.666666666666657</v>
      </c>
      <c r="K28" s="89">
        <f>137/15*12</f>
        <v>109.6</v>
      </c>
      <c r="L28" s="52">
        <f>14.53/12*10</f>
        <v>12.108333333333333</v>
      </c>
      <c r="M28" s="51">
        <f>18.16/15*12</f>
        <v>14.528000000000002</v>
      </c>
      <c r="N28" s="54">
        <v>339</v>
      </c>
      <c r="O28" s="202"/>
      <c r="P28" s="1"/>
    </row>
    <row r="29" spans="1:16" ht="15.75" x14ac:dyDescent="0.25">
      <c r="A29" s="217" t="s">
        <v>80</v>
      </c>
      <c r="B29" s="48">
        <v>15</v>
      </c>
      <c r="C29" s="54">
        <f>30/3*2</f>
        <v>20</v>
      </c>
      <c r="D29" s="52">
        <v>0.01</v>
      </c>
      <c r="E29" s="51">
        <f>0.18/3*2</f>
        <v>0.12</v>
      </c>
      <c r="F29" s="52">
        <v>0.53</v>
      </c>
      <c r="G29" s="51">
        <f>1.05/3*2</f>
        <v>0.70000000000000007</v>
      </c>
      <c r="H29" s="52">
        <v>0.55000000000000004</v>
      </c>
      <c r="I29" s="51">
        <f>1.1/3*2</f>
        <v>0.73333333333333339</v>
      </c>
      <c r="J29" s="50">
        <v>7</v>
      </c>
      <c r="K29" s="51">
        <f>15/3*2</f>
        <v>10</v>
      </c>
      <c r="L29" s="52">
        <v>0.04</v>
      </c>
      <c r="M29" s="51">
        <f>0.08/3*2</f>
        <v>5.3333333333333337E-2</v>
      </c>
      <c r="N29" s="54">
        <v>365</v>
      </c>
      <c r="O29" s="200"/>
      <c r="P29" s="1"/>
    </row>
    <row r="30" spans="1:16" ht="15.75" x14ac:dyDescent="0.25">
      <c r="A30" s="217" t="s">
        <v>81</v>
      </c>
      <c r="B30" s="48">
        <v>150</v>
      </c>
      <c r="C30" s="54">
        <f>200/20*18</f>
        <v>180</v>
      </c>
      <c r="D30" s="52">
        <v>0.14399999999999999</v>
      </c>
      <c r="E30" s="51">
        <f>0.44/20*18</f>
        <v>0.39599999999999996</v>
      </c>
      <c r="F30" s="52">
        <v>0.14399999999999999</v>
      </c>
      <c r="G30" s="51">
        <f>0.192/20*18</f>
        <v>0.17280000000000001</v>
      </c>
      <c r="H30" s="52">
        <v>17.91</v>
      </c>
      <c r="I30" s="51">
        <f>23.88/20*18</f>
        <v>21.491999999999997</v>
      </c>
      <c r="J30" s="50">
        <v>73.2</v>
      </c>
      <c r="K30" s="51">
        <f>97.6/20*18</f>
        <v>87.84</v>
      </c>
      <c r="L30" s="52">
        <v>1.64</v>
      </c>
      <c r="M30" s="95">
        <f>2.28/20*18</f>
        <v>2.0519999999999996</v>
      </c>
      <c r="N30" s="54">
        <v>390</v>
      </c>
      <c r="O30" s="200"/>
      <c r="P30" s="1"/>
    </row>
    <row r="31" spans="1:16" ht="16.5" thickBot="1" x14ac:dyDescent="0.3">
      <c r="A31" s="218" t="s">
        <v>21</v>
      </c>
      <c r="B31" s="147">
        <v>30</v>
      </c>
      <c r="C31" s="228">
        <v>40</v>
      </c>
      <c r="D31" s="103">
        <v>1.98</v>
      </c>
      <c r="E31" s="104">
        <v>2.64</v>
      </c>
      <c r="F31" s="103">
        <v>0.36</v>
      </c>
      <c r="G31" s="104">
        <v>0.48</v>
      </c>
      <c r="H31" s="103">
        <v>10.02</v>
      </c>
      <c r="I31" s="100">
        <v>13.36</v>
      </c>
      <c r="J31" s="99">
        <v>52.2</v>
      </c>
      <c r="K31" s="100">
        <v>69.599999999999994</v>
      </c>
      <c r="L31" s="103"/>
      <c r="M31" s="104"/>
      <c r="N31" s="149"/>
      <c r="O31" s="201"/>
      <c r="P31" s="1"/>
    </row>
    <row r="32" spans="1:16" s="1" customFormat="1" ht="16.899999999999999" thickBot="1" x14ac:dyDescent="0.4">
      <c r="A32" s="213"/>
      <c r="B32" s="225">
        <f t="shared" ref="B32:M32" si="1">SUM(B25:B31)</f>
        <v>525</v>
      </c>
      <c r="C32" s="226">
        <f t="shared" si="1"/>
        <v>660</v>
      </c>
      <c r="D32" s="350">
        <f t="shared" si="1"/>
        <v>10.922333333333334</v>
      </c>
      <c r="E32" s="351">
        <f t="shared" si="1"/>
        <v>14.842083333333335</v>
      </c>
      <c r="F32" s="350">
        <f t="shared" si="1"/>
        <v>25.282333333333334</v>
      </c>
      <c r="G32" s="351">
        <f t="shared" si="1"/>
        <v>34.422716666666673</v>
      </c>
      <c r="H32" s="350">
        <f t="shared" si="1"/>
        <v>55.41</v>
      </c>
      <c r="I32" s="351">
        <f t="shared" si="1"/>
        <v>69.434666666666658</v>
      </c>
      <c r="J32" s="352">
        <f t="shared" si="1"/>
        <v>493.93999999999994</v>
      </c>
      <c r="K32" s="351">
        <f t="shared" si="1"/>
        <v>647.43500000000006</v>
      </c>
      <c r="L32" s="350">
        <f t="shared" si="1"/>
        <v>27.73833333333333</v>
      </c>
      <c r="M32" s="351">
        <f t="shared" si="1"/>
        <v>34.726333333333336</v>
      </c>
      <c r="N32" s="134"/>
      <c r="O32" s="227"/>
    </row>
    <row r="33" spans="1:16" ht="15.75" x14ac:dyDescent="0.25">
      <c r="A33" s="219" t="s">
        <v>22</v>
      </c>
      <c r="B33" s="121"/>
      <c r="C33" s="122"/>
      <c r="D33" s="123"/>
      <c r="E33" s="124"/>
      <c r="F33" s="123"/>
      <c r="G33" s="124"/>
      <c r="H33" s="123"/>
      <c r="I33" s="126"/>
      <c r="J33" s="157"/>
      <c r="K33" s="126"/>
      <c r="L33" s="115"/>
      <c r="M33" s="116"/>
      <c r="N33" s="67"/>
      <c r="O33" s="203"/>
      <c r="P33" s="1"/>
    </row>
    <row r="34" spans="1:16" ht="15.75" x14ac:dyDescent="0.25">
      <c r="A34" s="216" t="s">
        <v>82</v>
      </c>
      <c r="B34" s="121">
        <f>65/13*14</f>
        <v>70</v>
      </c>
      <c r="C34" s="122">
        <f>85/17*18</f>
        <v>90</v>
      </c>
      <c r="D34" s="123">
        <f>5.73/13*14</f>
        <v>6.1707692307692312</v>
      </c>
      <c r="E34" s="124">
        <f>7.52/17*18</f>
        <v>7.9623529411764702</v>
      </c>
      <c r="F34" s="123">
        <f>11.04/13*14</f>
        <v>11.889230769230767</v>
      </c>
      <c r="G34" s="124">
        <f>13.46/17*18</f>
        <v>14.251764705882355</v>
      </c>
      <c r="H34" s="123">
        <f>1.1/13*14</f>
        <v>1.1846153846153846</v>
      </c>
      <c r="I34" s="126">
        <f>1.51/17*18</f>
        <v>1.5988235294117648</v>
      </c>
      <c r="J34" s="157">
        <f>127/13*14</f>
        <v>136.76923076923077</v>
      </c>
      <c r="K34" s="126">
        <f>157/17*18</f>
        <v>166.23529411764704</v>
      </c>
      <c r="L34" s="115">
        <f>0.1/13*14</f>
        <v>0.1076923076923077</v>
      </c>
      <c r="M34" s="116">
        <f>0.15/17*18</f>
        <v>0.1588235294117647</v>
      </c>
      <c r="N34" s="54">
        <v>229</v>
      </c>
      <c r="O34" s="200"/>
      <c r="P34" s="1"/>
    </row>
    <row r="35" spans="1:16" s="1" customFormat="1" ht="15.75" x14ac:dyDescent="0.25">
      <c r="A35" s="216" t="s">
        <v>28</v>
      </c>
      <c r="B35" s="60">
        <f>15/3*4</f>
        <v>20</v>
      </c>
      <c r="C35" s="47">
        <f>30/6*5</f>
        <v>25</v>
      </c>
      <c r="D35" s="88">
        <f>1.19/3*4</f>
        <v>1.5866666666666667</v>
      </c>
      <c r="E35" s="90">
        <f>2.38/6*5</f>
        <v>1.9833333333333334</v>
      </c>
      <c r="F35" s="88">
        <f>0.15/3*4</f>
        <v>0.19999999999999998</v>
      </c>
      <c r="G35" s="90">
        <f>0.3/6*5</f>
        <v>0.24999999999999997</v>
      </c>
      <c r="H35" s="88">
        <f>7.25/3*4</f>
        <v>9.6666666666666661</v>
      </c>
      <c r="I35" s="89">
        <f>14.5/6*5</f>
        <v>12.083333333333332</v>
      </c>
      <c r="J35" s="91">
        <f>35/3*4</f>
        <v>46.666666666666664</v>
      </c>
      <c r="K35" s="89">
        <f>70/6*5</f>
        <v>58.333333333333329</v>
      </c>
      <c r="L35" s="52"/>
      <c r="M35" s="95"/>
      <c r="N35" s="54"/>
      <c r="O35" s="200"/>
    </row>
    <row r="36" spans="1:16" ht="16.5" thickBot="1" x14ac:dyDescent="0.3">
      <c r="A36" s="221" t="s">
        <v>83</v>
      </c>
      <c r="B36" s="69" t="s">
        <v>23</v>
      </c>
      <c r="C36" s="131" t="s">
        <v>24</v>
      </c>
      <c r="D36" s="176">
        <v>7.0000000000000007E-2</v>
      </c>
      <c r="E36" s="179">
        <v>0.13</v>
      </c>
      <c r="F36" s="176">
        <v>0.01</v>
      </c>
      <c r="G36" s="179">
        <v>0.02</v>
      </c>
      <c r="H36" s="176">
        <v>7.1</v>
      </c>
      <c r="I36" s="353">
        <v>11.33</v>
      </c>
      <c r="J36" s="177">
        <v>29</v>
      </c>
      <c r="K36" s="353">
        <v>45.56</v>
      </c>
      <c r="L36" s="176">
        <v>1.42</v>
      </c>
      <c r="M36" s="179">
        <v>3.14</v>
      </c>
      <c r="N36" s="76" t="s">
        <v>25</v>
      </c>
      <c r="O36" s="251"/>
      <c r="P36" s="1"/>
    </row>
    <row r="37" spans="1:16" s="1" customFormat="1" ht="16.899999999999999" thickBot="1" x14ac:dyDescent="0.4">
      <c r="A37" s="290"/>
      <c r="B37" s="279">
        <f>SUM(B34:B36)+160.5</f>
        <v>250.5</v>
      </c>
      <c r="C37" s="303">
        <f>SUM(C34:C36)+217</f>
        <v>332</v>
      </c>
      <c r="D37" s="304">
        <f t="shared" ref="D37:M37" si="2">SUM(D34:D36)</f>
        <v>7.8274358974358984</v>
      </c>
      <c r="E37" s="305">
        <f t="shared" si="2"/>
        <v>10.075686274509804</v>
      </c>
      <c r="F37" s="304">
        <f t="shared" si="2"/>
        <v>12.099230769230767</v>
      </c>
      <c r="G37" s="305">
        <f t="shared" si="2"/>
        <v>14.521764705882354</v>
      </c>
      <c r="H37" s="304">
        <f t="shared" si="2"/>
        <v>17.95128205128205</v>
      </c>
      <c r="I37" s="305">
        <f t="shared" si="2"/>
        <v>25.012156862745098</v>
      </c>
      <c r="J37" s="306">
        <f t="shared" si="2"/>
        <v>212.43589743589743</v>
      </c>
      <c r="K37" s="307">
        <f t="shared" si="2"/>
        <v>270.12862745098039</v>
      </c>
      <c r="L37" s="304">
        <f t="shared" si="2"/>
        <v>1.5276923076923077</v>
      </c>
      <c r="M37" s="305">
        <f t="shared" si="2"/>
        <v>3.2988235294117647</v>
      </c>
      <c r="N37" s="308"/>
      <c r="O37" s="77"/>
    </row>
    <row r="38" spans="1:16" s="1" customFormat="1" ht="16.149999999999999" thickBot="1" x14ac:dyDescent="0.35">
      <c r="A38" s="299"/>
      <c r="B38" s="300"/>
      <c r="C38" s="301"/>
      <c r="D38" s="354"/>
      <c r="E38" s="355"/>
      <c r="F38" s="354"/>
      <c r="G38" s="355"/>
      <c r="H38" s="354"/>
      <c r="I38" s="356"/>
      <c r="J38" s="357"/>
      <c r="K38" s="356"/>
      <c r="L38" s="354"/>
      <c r="M38" s="355"/>
      <c r="N38" s="302"/>
      <c r="O38" s="297"/>
    </row>
    <row r="39" spans="1:16" ht="17.25" thickTop="1" thickBot="1" x14ac:dyDescent="0.3">
      <c r="A39" s="223" t="s">
        <v>26</v>
      </c>
      <c r="B39" s="193">
        <f t="shared" ref="B39:M39" si="3">B21+B23+B32+B37</f>
        <v>1202.5</v>
      </c>
      <c r="C39" s="194">
        <f t="shared" si="3"/>
        <v>1507</v>
      </c>
      <c r="D39" s="358">
        <f t="shared" si="3"/>
        <v>24.587435897435899</v>
      </c>
      <c r="E39" s="196">
        <f t="shared" si="3"/>
        <v>31.750769607843139</v>
      </c>
      <c r="F39" s="196">
        <f t="shared" si="3"/>
        <v>47.692230769230768</v>
      </c>
      <c r="G39" s="196">
        <f t="shared" si="3"/>
        <v>61.337481372549028</v>
      </c>
      <c r="H39" s="196">
        <f t="shared" si="3"/>
        <v>134.83728205128205</v>
      </c>
      <c r="I39" s="196">
        <f t="shared" si="3"/>
        <v>169.50682352941175</v>
      </c>
      <c r="J39" s="196">
        <f t="shared" si="3"/>
        <v>1071.9525641025641</v>
      </c>
      <c r="K39" s="359">
        <f t="shared" si="3"/>
        <v>1361.0196274509804</v>
      </c>
      <c r="L39" s="358">
        <f t="shared" si="3"/>
        <v>36.787358974358966</v>
      </c>
      <c r="M39" s="359">
        <f t="shared" si="3"/>
        <v>47.0521568627451</v>
      </c>
      <c r="N39" s="197"/>
      <c r="O39" s="205"/>
      <c r="P39" s="1"/>
    </row>
    <row r="40" spans="1:16" s="1" customFormat="1" ht="16.5" thickTop="1" x14ac:dyDescent="0.25">
      <c r="A40" s="136"/>
      <c r="B40" s="137"/>
      <c r="C40" s="137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137"/>
      <c r="O40" s="487"/>
    </row>
    <row r="41" spans="1:16" s="1" customFormat="1" ht="15.75" x14ac:dyDescent="0.25">
      <c r="A41" s="136"/>
      <c r="B41" s="137"/>
      <c r="C41" s="137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137"/>
      <c r="O41" s="487"/>
    </row>
    <row r="42" spans="1:16" s="1" customFormat="1" ht="15.75" x14ac:dyDescent="0.25">
      <c r="A42" s="136"/>
      <c r="B42" s="137"/>
      <c r="C42" s="137"/>
      <c r="D42" s="486"/>
      <c r="E42" s="486"/>
      <c r="F42" s="486"/>
      <c r="G42" s="486"/>
      <c r="H42" s="486"/>
      <c r="I42" s="486"/>
      <c r="J42" s="486"/>
      <c r="K42" s="486"/>
      <c r="L42" s="486"/>
      <c r="M42" s="486"/>
      <c r="N42" s="137"/>
      <c r="O42" s="487"/>
    </row>
    <row r="43" spans="1:16" s="1" customFormat="1" ht="15.75" x14ac:dyDescent="0.25">
      <c r="A43" s="136"/>
      <c r="B43" s="137"/>
      <c r="C43" s="137"/>
      <c r="D43" s="486"/>
      <c r="E43" s="486"/>
      <c r="F43" s="486"/>
      <c r="G43" s="486"/>
      <c r="H43" s="486"/>
      <c r="I43" s="486"/>
      <c r="J43" s="486"/>
      <c r="K43" s="486"/>
      <c r="L43" s="486"/>
      <c r="M43" s="486"/>
      <c r="N43" s="137"/>
      <c r="O43" s="487"/>
    </row>
    <row r="44" spans="1:16" s="1" customFormat="1" ht="15.75" x14ac:dyDescent="0.25">
      <c r="A44" s="136"/>
      <c r="B44" s="137"/>
      <c r="C44" s="137"/>
      <c r="D44" s="486"/>
      <c r="E44" s="486"/>
      <c r="F44" s="486"/>
      <c r="G44" s="486"/>
      <c r="H44" s="486"/>
      <c r="I44" s="486"/>
      <c r="J44" s="486"/>
      <c r="K44" s="486"/>
      <c r="L44" s="486"/>
      <c r="M44" s="486"/>
      <c r="N44" s="137"/>
      <c r="O44" s="487"/>
    </row>
    <row r="45" spans="1:16" s="1" customFormat="1" ht="15.6" x14ac:dyDescent="0.3">
      <c r="A45" s="136"/>
      <c r="B45" s="137"/>
      <c r="C45" s="137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137"/>
      <c r="O45" s="487"/>
    </row>
    <row r="46" spans="1:16" s="1" customFormat="1" ht="15.6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6" ht="15.75" x14ac:dyDescent="0.25">
      <c r="A47" s="135" t="s">
        <v>90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7"/>
      <c r="O47" s="137"/>
      <c r="P47" s="1"/>
    </row>
    <row r="48" spans="1:16" ht="15.75" x14ac:dyDescent="0.25">
      <c r="A48" s="12" t="s">
        <v>91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7"/>
      <c r="O48" s="137"/>
      <c r="P48" s="1"/>
    </row>
    <row r="49" spans="1:16" ht="15.75" x14ac:dyDescent="0.25">
      <c r="A49" s="480"/>
      <c r="B49" s="138" t="s">
        <v>27</v>
      </c>
      <c r="C49" s="138"/>
      <c r="D49" s="480"/>
      <c r="E49" s="480"/>
      <c r="F49" s="480"/>
      <c r="G49" s="480"/>
      <c r="H49" s="480"/>
      <c r="I49" s="480"/>
      <c r="J49" s="480"/>
      <c r="K49" s="480"/>
      <c r="L49" s="15"/>
      <c r="M49" s="15"/>
      <c r="N49" s="15"/>
      <c r="O49" s="15"/>
      <c r="P49" s="1"/>
    </row>
    <row r="50" spans="1:16" ht="16.149999999999999" thickBot="1" x14ac:dyDescent="0.35">
      <c r="A50" s="208"/>
      <c r="B50" s="208"/>
      <c r="C50" s="209"/>
      <c r="D50" s="210"/>
      <c r="E50" s="210"/>
      <c r="F50" s="209"/>
      <c r="G50" s="293"/>
      <c r="H50" s="293"/>
      <c r="I50" s="293"/>
      <c r="J50" s="293"/>
      <c r="K50" s="293"/>
      <c r="L50" s="293"/>
      <c r="M50" s="293"/>
      <c r="N50" s="293"/>
      <c r="O50" s="293"/>
      <c r="P50" s="1"/>
    </row>
    <row r="51" spans="1:16" ht="16.5" thickTop="1" x14ac:dyDescent="0.25">
      <c r="A51" s="212" t="s">
        <v>3</v>
      </c>
      <c r="B51" s="509" t="s">
        <v>4</v>
      </c>
      <c r="C51" s="510"/>
      <c r="D51" s="500" t="s">
        <v>5</v>
      </c>
      <c r="E51" s="507"/>
      <c r="F51" s="498" t="s">
        <v>6</v>
      </c>
      <c r="G51" s="510"/>
      <c r="H51" s="500" t="s">
        <v>62</v>
      </c>
      <c r="I51" s="507"/>
      <c r="J51" s="498" t="s">
        <v>7</v>
      </c>
      <c r="K51" s="510"/>
      <c r="L51" s="500" t="s">
        <v>72</v>
      </c>
      <c r="M51" s="507"/>
      <c r="N51" s="107" t="s">
        <v>8</v>
      </c>
      <c r="O51" s="207" t="s">
        <v>8</v>
      </c>
      <c r="P51" s="1"/>
    </row>
    <row r="52" spans="1:16" ht="16.5" thickBot="1" x14ac:dyDescent="0.3">
      <c r="A52" s="213"/>
      <c r="B52" s="495" t="s">
        <v>9</v>
      </c>
      <c r="C52" s="503"/>
      <c r="D52" s="489" t="s">
        <v>9</v>
      </c>
      <c r="E52" s="504"/>
      <c r="F52" s="495" t="s">
        <v>9</v>
      </c>
      <c r="G52" s="503"/>
      <c r="H52" s="489" t="s">
        <v>9</v>
      </c>
      <c r="I52" s="504"/>
      <c r="J52" s="485"/>
      <c r="K52" s="150"/>
      <c r="L52" s="489" t="s">
        <v>10</v>
      </c>
      <c r="M52" s="504"/>
      <c r="N52" s="22" t="s">
        <v>11</v>
      </c>
      <c r="O52" s="253" t="s">
        <v>11</v>
      </c>
      <c r="P52" s="1"/>
    </row>
    <row r="53" spans="1:16" ht="16.5" thickBot="1" x14ac:dyDescent="0.3">
      <c r="A53" s="214"/>
      <c r="B53" s="24" t="s">
        <v>12</v>
      </c>
      <c r="C53" s="172" t="s">
        <v>13</v>
      </c>
      <c r="D53" s="26" t="s">
        <v>12</v>
      </c>
      <c r="E53" s="27" t="s">
        <v>13</v>
      </c>
      <c r="F53" s="24" t="s">
        <v>12</v>
      </c>
      <c r="G53" s="172" t="s">
        <v>13</v>
      </c>
      <c r="H53" s="26" t="s">
        <v>12</v>
      </c>
      <c r="I53" s="27" t="s">
        <v>13</v>
      </c>
      <c r="J53" s="24" t="s">
        <v>12</v>
      </c>
      <c r="K53" s="172" t="s">
        <v>13</v>
      </c>
      <c r="L53" s="273" t="s">
        <v>12</v>
      </c>
      <c r="M53" s="165" t="s">
        <v>13</v>
      </c>
      <c r="N53" s="28"/>
      <c r="O53" s="198"/>
      <c r="P53" s="1"/>
    </row>
    <row r="54" spans="1:16" ht="15.75" x14ac:dyDescent="0.25">
      <c r="A54" s="219" t="s">
        <v>14</v>
      </c>
      <c r="B54" s="141"/>
      <c r="C54" s="267"/>
      <c r="D54" s="360"/>
      <c r="E54" s="361"/>
      <c r="F54" s="362"/>
      <c r="G54" s="363"/>
      <c r="H54" s="364"/>
      <c r="I54" s="365"/>
      <c r="J54" s="366"/>
      <c r="K54" s="367"/>
      <c r="L54" s="368"/>
      <c r="M54" s="369"/>
      <c r="N54" s="38"/>
      <c r="O54" s="199"/>
      <c r="P54" s="1"/>
    </row>
    <row r="55" spans="1:16" ht="15.75" x14ac:dyDescent="0.25">
      <c r="A55" s="256" t="s">
        <v>92</v>
      </c>
      <c r="B55" s="60">
        <v>150</v>
      </c>
      <c r="C55" s="44">
        <v>200</v>
      </c>
      <c r="D55" s="88">
        <v>3.3</v>
      </c>
      <c r="E55" s="92">
        <v>4.4000000000000004</v>
      </c>
      <c r="F55" s="91">
        <v>6.15</v>
      </c>
      <c r="G55" s="89">
        <v>8.1999999999999993</v>
      </c>
      <c r="H55" s="88">
        <v>23.15</v>
      </c>
      <c r="I55" s="94">
        <v>28.2</v>
      </c>
      <c r="J55" s="91">
        <v>157.19999999999999</v>
      </c>
      <c r="K55" s="89">
        <v>209.6</v>
      </c>
      <c r="L55" s="88"/>
      <c r="M55" s="92"/>
      <c r="N55" s="37"/>
      <c r="O55" s="200">
        <v>96</v>
      </c>
      <c r="P55" s="1"/>
    </row>
    <row r="56" spans="1:16" ht="15.75" x14ac:dyDescent="0.25">
      <c r="A56" s="217" t="s">
        <v>93</v>
      </c>
      <c r="B56" s="68">
        <f>30/6*7</f>
        <v>35</v>
      </c>
      <c r="C56" s="54">
        <v>40</v>
      </c>
      <c r="D56" s="52">
        <f>(4.73-0.04)/4*3/6*7</f>
        <v>4.1037500000000007</v>
      </c>
      <c r="E56" s="142">
        <v>4.6900000000000004</v>
      </c>
      <c r="F56" s="50">
        <f>(6.88-3.625)/4*3/6*7</f>
        <v>2.8481250000000005</v>
      </c>
      <c r="G56" s="51">
        <v>3.2549999999999999</v>
      </c>
      <c r="H56" s="52">
        <f>(14.56-0.065)/4*3/6*7</f>
        <v>12.683124999999999</v>
      </c>
      <c r="I56" s="53">
        <v>14.494999999999999</v>
      </c>
      <c r="J56" s="50">
        <f>(139-33)/4*3/6*7</f>
        <v>92.75</v>
      </c>
      <c r="K56" s="51">
        <v>106</v>
      </c>
      <c r="L56" s="52">
        <f>0.07/6*7</f>
        <v>8.1666666666666665E-2</v>
      </c>
      <c r="M56" s="53">
        <v>7.0000000000000007E-2</v>
      </c>
      <c r="N56" s="143">
        <v>3</v>
      </c>
      <c r="O56" s="249"/>
      <c r="P56" s="1"/>
    </row>
    <row r="57" spans="1:16" ht="16.5" thickBot="1" x14ac:dyDescent="0.3">
      <c r="A57" s="221" t="s">
        <v>76</v>
      </c>
      <c r="B57" s="188" t="s">
        <v>88</v>
      </c>
      <c r="C57" s="43" t="s">
        <v>71</v>
      </c>
      <c r="D57" s="282">
        <f>0.04/15*16</f>
        <v>4.2666666666666665E-2</v>
      </c>
      <c r="E57" s="57">
        <f>0.07/2*1.8</f>
        <v>6.3000000000000014E-2</v>
      </c>
      <c r="F57" s="282">
        <f>0.01/15*16</f>
        <v>1.0666666666666666E-2</v>
      </c>
      <c r="G57" s="58">
        <f>0.02/2*1.8</f>
        <v>1.8000000000000002E-2</v>
      </c>
      <c r="H57" s="55">
        <f>6.99/15*16</f>
        <v>7.4560000000000004</v>
      </c>
      <c r="I57" s="57">
        <f>11.1/2*1.8</f>
        <v>9.99</v>
      </c>
      <c r="J57" s="282">
        <f>28/15*16</f>
        <v>29.866666666666667</v>
      </c>
      <c r="K57" s="58">
        <f>44.44/2*1.8</f>
        <v>39.996000000000002</v>
      </c>
      <c r="L57" s="55">
        <f>0.02/15*16</f>
        <v>2.1333333333333333E-2</v>
      </c>
      <c r="M57" s="281">
        <f>0.03/2*1.8</f>
        <v>2.7E-2</v>
      </c>
      <c r="N57" s="42" t="s">
        <v>17</v>
      </c>
      <c r="O57" s="251"/>
      <c r="P57" s="1"/>
    </row>
    <row r="58" spans="1:16" s="1" customFormat="1" ht="16.5" thickBot="1" x14ac:dyDescent="0.3">
      <c r="A58" s="214"/>
      <c r="B58" s="277">
        <f>SUM(B55:B57)+167</f>
        <v>352</v>
      </c>
      <c r="C58" s="278">
        <f>SUM(C55:C57)+190</f>
        <v>430</v>
      </c>
      <c r="D58" s="306">
        <f t="shared" ref="D58:M58" si="4">SUM(D55:D57)</f>
        <v>7.4464166666666669</v>
      </c>
      <c r="E58" s="371">
        <f t="shared" si="4"/>
        <v>9.1530000000000005</v>
      </c>
      <c r="F58" s="306">
        <f t="shared" si="4"/>
        <v>9.008791666666669</v>
      </c>
      <c r="G58" s="307">
        <f t="shared" si="4"/>
        <v>11.472999999999999</v>
      </c>
      <c r="H58" s="304">
        <f t="shared" si="4"/>
        <v>43.289124999999999</v>
      </c>
      <c r="I58" s="371">
        <f t="shared" si="4"/>
        <v>52.685000000000002</v>
      </c>
      <c r="J58" s="306">
        <f t="shared" si="4"/>
        <v>279.81666666666666</v>
      </c>
      <c r="K58" s="307">
        <f t="shared" si="4"/>
        <v>355.596</v>
      </c>
      <c r="L58" s="304">
        <f t="shared" si="4"/>
        <v>0.10299999999999999</v>
      </c>
      <c r="M58" s="371">
        <f t="shared" si="4"/>
        <v>9.7000000000000003E-2</v>
      </c>
      <c r="N58" s="77"/>
      <c r="O58" s="77"/>
    </row>
    <row r="59" spans="1:16" ht="16.5" thickBot="1" x14ac:dyDescent="0.3">
      <c r="A59" s="289" t="s">
        <v>18</v>
      </c>
      <c r="B59" s="109"/>
      <c r="C59" s="482"/>
      <c r="D59" s="488"/>
      <c r="E59" s="129"/>
      <c r="F59" s="120"/>
      <c r="G59" s="178"/>
      <c r="H59" s="119"/>
      <c r="I59" s="129"/>
      <c r="J59" s="120"/>
      <c r="K59" s="178"/>
      <c r="L59" s="119"/>
      <c r="M59" s="129"/>
      <c r="N59" s="107"/>
      <c r="O59" s="207"/>
      <c r="P59" s="1"/>
    </row>
    <row r="60" spans="1:16" ht="16.5" thickBot="1" x14ac:dyDescent="0.3">
      <c r="A60" s="290" t="s">
        <v>94</v>
      </c>
      <c r="B60" s="309">
        <f>120/1.2</f>
        <v>100</v>
      </c>
      <c r="C60" s="310">
        <v>100</v>
      </c>
      <c r="D60" s="337">
        <f>0.6/1.2</f>
        <v>0.5</v>
      </c>
      <c r="E60" s="338">
        <v>0.5</v>
      </c>
      <c r="F60" s="339"/>
      <c r="G60" s="342"/>
      <c r="H60" s="337">
        <f>12.12/1.2</f>
        <v>10.1</v>
      </c>
      <c r="I60" s="341">
        <v>10.1</v>
      </c>
      <c r="J60" s="339">
        <f>51.2/1.2</f>
        <v>42.666666666666671</v>
      </c>
      <c r="K60" s="342">
        <v>42.67</v>
      </c>
      <c r="L60" s="337">
        <f>2.45/1.2</f>
        <v>2.041666666666667</v>
      </c>
      <c r="M60" s="338">
        <v>2.0409999999999999</v>
      </c>
      <c r="N60" s="28">
        <v>418</v>
      </c>
      <c r="O60" s="288"/>
      <c r="P60" s="1"/>
    </row>
    <row r="61" spans="1:16" ht="15.75" x14ac:dyDescent="0.25">
      <c r="A61" s="219" t="s">
        <v>19</v>
      </c>
      <c r="B61" s="190"/>
      <c r="C61" s="145"/>
      <c r="D61" s="123"/>
      <c r="E61" s="156"/>
      <c r="F61" s="157"/>
      <c r="G61" s="126"/>
      <c r="H61" s="123"/>
      <c r="I61" s="125"/>
      <c r="J61" s="157"/>
      <c r="K61" s="126"/>
      <c r="L61" s="123"/>
      <c r="M61" s="125"/>
      <c r="N61" s="38"/>
      <c r="O61" s="199"/>
      <c r="P61" s="1"/>
    </row>
    <row r="62" spans="1:16" ht="15.75" x14ac:dyDescent="0.25">
      <c r="A62" s="260" t="s">
        <v>132</v>
      </c>
      <c r="B62" s="190">
        <v>30</v>
      </c>
      <c r="C62" s="145">
        <f>60/6*5</f>
        <v>50</v>
      </c>
      <c r="D62" s="123">
        <f>0.59/2</f>
        <v>0.29499999999999998</v>
      </c>
      <c r="E62" s="156">
        <f>0.59/6*5</f>
        <v>0.49166666666666664</v>
      </c>
      <c r="F62" s="157">
        <f>3.69/2</f>
        <v>1.845</v>
      </c>
      <c r="G62" s="126">
        <f>3.69/6*5</f>
        <v>3.0750000000000002</v>
      </c>
      <c r="H62" s="123">
        <v>1.1200000000000001</v>
      </c>
      <c r="I62" s="125">
        <f>2.24/6*5</f>
        <v>1.8666666666666667</v>
      </c>
      <c r="J62" s="120">
        <v>22.5</v>
      </c>
      <c r="K62" s="126">
        <f>45/6*5</f>
        <v>37.5</v>
      </c>
      <c r="L62" s="123">
        <v>5.03</v>
      </c>
      <c r="M62" s="94">
        <f>10.06/6*5</f>
        <v>8.3833333333333329</v>
      </c>
      <c r="N62" s="107">
        <v>15</v>
      </c>
      <c r="O62" s="199"/>
      <c r="P62" s="1"/>
    </row>
    <row r="63" spans="1:16" ht="15.75" x14ac:dyDescent="0.25">
      <c r="A63" s="216" t="s">
        <v>33</v>
      </c>
      <c r="B63" s="62">
        <v>150</v>
      </c>
      <c r="C63" s="186">
        <v>200</v>
      </c>
      <c r="D63" s="88">
        <v>1.46</v>
      </c>
      <c r="E63" s="92">
        <v>1.94</v>
      </c>
      <c r="F63" s="91">
        <v>3.28</v>
      </c>
      <c r="G63" s="89">
        <v>4.37</v>
      </c>
      <c r="H63" s="88">
        <v>10.18</v>
      </c>
      <c r="I63" s="94">
        <v>13.57</v>
      </c>
      <c r="J63" s="91">
        <v>75.75</v>
      </c>
      <c r="K63" s="89">
        <v>101.6</v>
      </c>
      <c r="L63" s="88">
        <v>4.5199999999999996</v>
      </c>
      <c r="M63" s="94">
        <v>6.03</v>
      </c>
      <c r="N63" s="37" t="s">
        <v>34</v>
      </c>
      <c r="O63" s="202"/>
      <c r="P63" s="1"/>
    </row>
    <row r="64" spans="1:16" s="1" customFormat="1" ht="15.75" x14ac:dyDescent="0.25">
      <c r="A64" s="216" t="s">
        <v>66</v>
      </c>
      <c r="B64" s="62">
        <f>80/8*7</f>
        <v>70</v>
      </c>
      <c r="C64" s="186">
        <v>90</v>
      </c>
      <c r="D64" s="88">
        <f>11.29/8*7</f>
        <v>9.8787500000000001</v>
      </c>
      <c r="E64" s="92">
        <v>12.7</v>
      </c>
      <c r="F64" s="91">
        <f>13.16/8*7</f>
        <v>11.515000000000001</v>
      </c>
      <c r="G64" s="89">
        <v>14.8</v>
      </c>
      <c r="H64" s="88">
        <f>2.04/8*7</f>
        <v>1.7850000000000001</v>
      </c>
      <c r="I64" s="94">
        <v>2.2999999999999998</v>
      </c>
      <c r="J64" s="91">
        <f>172.27/8*7</f>
        <v>150.73625000000001</v>
      </c>
      <c r="K64" s="89">
        <v>193.8</v>
      </c>
      <c r="L64" s="88"/>
      <c r="M64" s="94"/>
      <c r="N64" s="37"/>
      <c r="O64" s="202">
        <v>128</v>
      </c>
    </row>
    <row r="65" spans="1:16" ht="15.75" x14ac:dyDescent="0.25">
      <c r="A65" s="217" t="s">
        <v>95</v>
      </c>
      <c r="B65" s="68">
        <v>100</v>
      </c>
      <c r="C65" s="54">
        <v>130</v>
      </c>
      <c r="D65" s="176">
        <v>5.7320000000000002</v>
      </c>
      <c r="E65" s="53">
        <v>7.45</v>
      </c>
      <c r="F65" s="50">
        <v>4.0620000000000003</v>
      </c>
      <c r="G65" s="51">
        <v>5.28</v>
      </c>
      <c r="H65" s="176">
        <v>25.760999999999999</v>
      </c>
      <c r="I65" s="53">
        <v>33.49</v>
      </c>
      <c r="J65" s="50">
        <v>162.5</v>
      </c>
      <c r="K65" s="51">
        <v>211.25</v>
      </c>
      <c r="L65" s="52"/>
      <c r="M65" s="53"/>
      <c r="N65" s="45">
        <v>330</v>
      </c>
      <c r="O65" s="202"/>
      <c r="P65" s="1"/>
    </row>
    <row r="66" spans="1:16" ht="15.75" x14ac:dyDescent="0.25">
      <c r="A66" s="217" t="s">
        <v>96</v>
      </c>
      <c r="B66" s="60">
        <v>150</v>
      </c>
      <c r="C66" s="44">
        <v>200</v>
      </c>
      <c r="D66" s="88">
        <v>0.33</v>
      </c>
      <c r="E66" s="92">
        <v>0.44</v>
      </c>
      <c r="F66" s="50">
        <v>0.02</v>
      </c>
      <c r="G66" s="51">
        <v>0.02</v>
      </c>
      <c r="H66" s="88">
        <v>20.83</v>
      </c>
      <c r="I66" s="94">
        <v>27.77</v>
      </c>
      <c r="J66" s="91">
        <v>85</v>
      </c>
      <c r="K66" s="89">
        <v>113.33</v>
      </c>
      <c r="L66" s="52">
        <v>0.65</v>
      </c>
      <c r="M66" s="53">
        <v>0.96</v>
      </c>
      <c r="N66" s="45">
        <v>394</v>
      </c>
      <c r="O66" s="200"/>
      <c r="P66" s="1"/>
    </row>
    <row r="67" spans="1:16" ht="16.5" thickBot="1" x14ac:dyDescent="0.3">
      <c r="A67" s="298" t="s">
        <v>21</v>
      </c>
      <c r="B67" s="70">
        <f>30/3*2</f>
        <v>20</v>
      </c>
      <c r="C67" s="133">
        <v>40</v>
      </c>
      <c r="D67" s="176">
        <f>1.98/3*2</f>
        <v>1.32</v>
      </c>
      <c r="E67" s="373">
        <v>2.64</v>
      </c>
      <c r="F67" s="177">
        <f>0.36/3*2</f>
        <v>0.24</v>
      </c>
      <c r="G67" s="353">
        <v>0.48</v>
      </c>
      <c r="H67" s="176">
        <f>10.02/3*2</f>
        <v>6.68</v>
      </c>
      <c r="I67" s="181">
        <v>13.36</v>
      </c>
      <c r="J67" s="177">
        <f>52.2/3*2</f>
        <v>34.800000000000004</v>
      </c>
      <c r="K67" s="353">
        <v>69.599999999999994</v>
      </c>
      <c r="L67" s="176"/>
      <c r="M67" s="181"/>
      <c r="N67" s="76"/>
      <c r="O67" s="251"/>
      <c r="P67" s="1"/>
    </row>
    <row r="68" spans="1:16" s="1" customFormat="1" ht="16.5" thickBot="1" x14ac:dyDescent="0.3">
      <c r="A68" s="290"/>
      <c r="B68" s="277">
        <f t="shared" ref="B68:M68" si="5">SUM(B62:B67)</f>
        <v>520</v>
      </c>
      <c r="C68" s="278">
        <f t="shared" si="5"/>
        <v>710</v>
      </c>
      <c r="D68" s="304">
        <f t="shared" si="5"/>
        <v>19.015749999999997</v>
      </c>
      <c r="E68" s="371">
        <f t="shared" si="5"/>
        <v>25.661666666666669</v>
      </c>
      <c r="F68" s="306">
        <f t="shared" si="5"/>
        <v>20.962</v>
      </c>
      <c r="G68" s="307">
        <f t="shared" si="5"/>
        <v>28.025000000000002</v>
      </c>
      <c r="H68" s="304">
        <f t="shared" si="5"/>
        <v>66.355999999999995</v>
      </c>
      <c r="I68" s="371">
        <f t="shared" si="5"/>
        <v>92.356666666666669</v>
      </c>
      <c r="J68" s="306">
        <f t="shared" si="5"/>
        <v>531.28625</v>
      </c>
      <c r="K68" s="307">
        <f t="shared" si="5"/>
        <v>727.08</v>
      </c>
      <c r="L68" s="304">
        <f t="shared" si="5"/>
        <v>10.200000000000001</v>
      </c>
      <c r="M68" s="371">
        <f t="shared" si="5"/>
        <v>15.373333333333335</v>
      </c>
      <c r="N68" s="77"/>
      <c r="O68" s="77"/>
    </row>
    <row r="69" spans="1:16" ht="15.75" x14ac:dyDescent="0.25">
      <c r="A69" s="219" t="s">
        <v>22</v>
      </c>
      <c r="B69" s="190"/>
      <c r="C69" s="145"/>
      <c r="D69" s="123"/>
      <c r="E69" s="156"/>
      <c r="F69" s="157"/>
      <c r="G69" s="126"/>
      <c r="H69" s="123"/>
      <c r="I69" s="125"/>
      <c r="J69" s="157"/>
      <c r="K69" s="126"/>
      <c r="L69" s="115"/>
      <c r="M69" s="117"/>
      <c r="N69" s="66"/>
      <c r="O69" s="203"/>
      <c r="P69" s="1"/>
    </row>
    <row r="70" spans="1:16" ht="15.75" x14ac:dyDescent="0.25">
      <c r="A70" s="216" t="s">
        <v>97</v>
      </c>
      <c r="B70" s="60">
        <v>100</v>
      </c>
      <c r="C70" s="44">
        <v>150</v>
      </c>
      <c r="D70" s="88">
        <v>3.6</v>
      </c>
      <c r="E70" s="92">
        <v>4</v>
      </c>
      <c r="F70" s="91">
        <v>2.7</v>
      </c>
      <c r="G70" s="89">
        <v>3.7</v>
      </c>
      <c r="H70" s="88">
        <v>9.1999999999999993</v>
      </c>
      <c r="I70" s="94">
        <v>12.2</v>
      </c>
      <c r="J70" s="91">
        <v>86</v>
      </c>
      <c r="K70" s="89">
        <v>108.4</v>
      </c>
      <c r="L70" s="52"/>
      <c r="M70" s="53"/>
      <c r="N70" s="45"/>
      <c r="O70" s="250">
        <v>57</v>
      </c>
      <c r="P70" s="1"/>
    </row>
    <row r="71" spans="1:16" ht="15.75" x14ac:dyDescent="0.25">
      <c r="A71" s="216" t="s">
        <v>21</v>
      </c>
      <c r="B71" s="68">
        <v>15</v>
      </c>
      <c r="C71" s="54">
        <v>30</v>
      </c>
      <c r="D71" s="52">
        <v>0.99</v>
      </c>
      <c r="E71" s="53">
        <v>1.98</v>
      </c>
      <c r="F71" s="50">
        <v>0.18</v>
      </c>
      <c r="G71" s="51">
        <v>0.36</v>
      </c>
      <c r="H71" s="52">
        <v>5.01</v>
      </c>
      <c r="I71" s="53">
        <v>10.02</v>
      </c>
      <c r="J71" s="50">
        <v>26.1</v>
      </c>
      <c r="K71" s="51" t="s">
        <v>57</v>
      </c>
      <c r="L71" s="52"/>
      <c r="M71" s="53"/>
      <c r="N71" s="45"/>
      <c r="O71" s="200"/>
      <c r="P71" s="1"/>
    </row>
    <row r="72" spans="1:16" s="1" customFormat="1" ht="15.75" x14ac:dyDescent="0.25">
      <c r="A72" s="216" t="s">
        <v>98</v>
      </c>
      <c r="B72" s="60">
        <v>20</v>
      </c>
      <c r="C72" s="44">
        <v>25</v>
      </c>
      <c r="D72" s="88">
        <v>0.16</v>
      </c>
      <c r="E72" s="94">
        <f>0.16/4*5</f>
        <v>0.2</v>
      </c>
      <c r="F72" s="91">
        <v>0.02</v>
      </c>
      <c r="G72" s="89">
        <f>0.02/4*5</f>
        <v>2.5000000000000001E-2</v>
      </c>
      <c r="H72" s="88">
        <v>15.96</v>
      </c>
      <c r="I72" s="94">
        <f>15.96/4*5</f>
        <v>19.950000000000003</v>
      </c>
      <c r="J72" s="91">
        <v>65</v>
      </c>
      <c r="K72" s="89">
        <f>65/4*5</f>
        <v>81.25</v>
      </c>
      <c r="L72" s="88"/>
      <c r="M72" s="92"/>
      <c r="N72" s="37"/>
      <c r="O72" s="200"/>
    </row>
    <row r="73" spans="1:16" s="1" customFormat="1" ht="15.75" x14ac:dyDescent="0.25">
      <c r="A73" s="221" t="s">
        <v>83</v>
      </c>
      <c r="B73" s="246" t="s">
        <v>23</v>
      </c>
      <c r="C73" s="75" t="s">
        <v>24</v>
      </c>
      <c r="D73" s="101">
        <v>7.0000000000000007E-2</v>
      </c>
      <c r="E73" s="324">
        <v>0.13</v>
      </c>
      <c r="F73" s="325">
        <v>0.01</v>
      </c>
      <c r="G73" s="105">
        <v>0.02</v>
      </c>
      <c r="H73" s="101">
        <v>7.1</v>
      </c>
      <c r="I73" s="324">
        <v>11.33</v>
      </c>
      <c r="J73" s="325">
        <v>29</v>
      </c>
      <c r="K73" s="105">
        <v>45.56</v>
      </c>
      <c r="L73" s="325">
        <v>1.42</v>
      </c>
      <c r="M73" s="324">
        <v>3.14</v>
      </c>
      <c r="N73" s="76" t="s">
        <v>25</v>
      </c>
      <c r="O73" s="251"/>
    </row>
    <row r="74" spans="1:16" ht="15.75" x14ac:dyDescent="0.25">
      <c r="A74" s="217"/>
      <c r="B74" s="144">
        <f>SUM(B70:B72)+160.5</f>
        <v>295.5</v>
      </c>
      <c r="C74" s="187">
        <f>SUM(C70:C72)+217</f>
        <v>422</v>
      </c>
      <c r="D74" s="175">
        <f>SUM(D70:D73)</f>
        <v>4.82</v>
      </c>
      <c r="E74" s="374">
        <f t="shared" ref="E74:M74" si="6">SUM(E70:E73)</f>
        <v>6.3100000000000005</v>
      </c>
      <c r="F74" s="154">
        <f t="shared" si="6"/>
        <v>2.91</v>
      </c>
      <c r="G74" s="240">
        <f t="shared" si="6"/>
        <v>4.1050000000000004</v>
      </c>
      <c r="H74" s="175">
        <f t="shared" si="6"/>
        <v>37.270000000000003</v>
      </c>
      <c r="I74" s="375">
        <f>SUM(I70:I73)</f>
        <v>53.5</v>
      </c>
      <c r="J74" s="154">
        <f t="shared" si="6"/>
        <v>206.1</v>
      </c>
      <c r="K74" s="240">
        <f t="shared" si="6"/>
        <v>235.21</v>
      </c>
      <c r="L74" s="154">
        <f t="shared" si="6"/>
        <v>1.42</v>
      </c>
      <c r="M74" s="375">
        <f t="shared" si="6"/>
        <v>3.14</v>
      </c>
      <c r="N74" s="45"/>
      <c r="O74" s="200"/>
      <c r="P74" s="1"/>
    </row>
    <row r="75" spans="1:16" s="1" customFormat="1" ht="16.5" thickBot="1" x14ac:dyDescent="0.3">
      <c r="A75" s="222"/>
      <c r="B75" s="243"/>
      <c r="C75" s="191"/>
      <c r="D75" s="376"/>
      <c r="E75" s="377"/>
      <c r="F75" s="378"/>
      <c r="G75" s="379"/>
      <c r="H75" s="376"/>
      <c r="I75" s="377"/>
      <c r="J75" s="378"/>
      <c r="K75" s="379"/>
      <c r="L75" s="378"/>
      <c r="M75" s="377"/>
      <c r="N75" s="192"/>
      <c r="O75" s="204"/>
    </row>
    <row r="76" spans="1:16" s="1" customFormat="1" ht="17.25" thickTop="1" thickBot="1" x14ac:dyDescent="0.3">
      <c r="A76" s="295" t="s">
        <v>29</v>
      </c>
      <c r="B76" s="266">
        <f t="shared" ref="B76:M76" si="7">B58+B60+B68+B74</f>
        <v>1267.5</v>
      </c>
      <c r="C76" s="266">
        <f t="shared" si="7"/>
        <v>1662</v>
      </c>
      <c r="D76" s="320">
        <f t="shared" si="7"/>
        <v>31.782166666666665</v>
      </c>
      <c r="E76" s="380">
        <f t="shared" si="7"/>
        <v>41.62466666666667</v>
      </c>
      <c r="F76" s="320">
        <f t="shared" si="7"/>
        <v>32.880791666666667</v>
      </c>
      <c r="G76" s="335">
        <f t="shared" si="7"/>
        <v>43.603000000000009</v>
      </c>
      <c r="H76" s="381">
        <f t="shared" si="7"/>
        <v>157.01512500000001</v>
      </c>
      <c r="I76" s="380">
        <f t="shared" si="7"/>
        <v>208.64166666666668</v>
      </c>
      <c r="J76" s="320">
        <f t="shared" si="7"/>
        <v>1059.8695833333334</v>
      </c>
      <c r="K76" s="335">
        <f t="shared" si="7"/>
        <v>1360.556</v>
      </c>
      <c r="L76" s="381">
        <f t="shared" si="7"/>
        <v>13.764666666666669</v>
      </c>
      <c r="M76" s="380">
        <f t="shared" si="7"/>
        <v>20.651333333333334</v>
      </c>
      <c r="N76" s="296"/>
      <c r="O76" s="297"/>
    </row>
    <row r="77" spans="1:16" s="1" customFormat="1" ht="16.5" thickTop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6" s="1" customFormat="1" ht="15.75" x14ac:dyDescent="0.25">
      <c r="A78" s="136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2"/>
    </row>
    <row r="79" spans="1:16" s="1" customFormat="1" ht="15.7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6" ht="15.75" x14ac:dyDescent="0.25">
      <c r="A80" s="14"/>
      <c r="B80" s="14"/>
      <c r="C80" s="14"/>
      <c r="D80" s="14"/>
      <c r="E80" s="14"/>
      <c r="F80" s="14"/>
      <c r="G80" s="14"/>
      <c r="H80" s="14"/>
      <c r="I80" s="480"/>
      <c r="J80" s="14"/>
      <c r="K80" s="14"/>
      <c r="L80" s="14"/>
      <c r="M80" s="14"/>
      <c r="N80" s="14"/>
      <c r="O80" s="14"/>
    </row>
    <row r="81" spans="1:16" ht="15.7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6" ht="15.7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6" ht="15.7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6" ht="15.7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6" ht="15.7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6" s="1" customFormat="1" ht="15.7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6" s="1" customFormat="1" ht="15.7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6" s="1" customFormat="1" ht="15.7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6" s="1" customFormat="1" ht="15.7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6" s="1" customFormat="1" ht="15.7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6" ht="15.7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6" ht="15.7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6" ht="15.75" x14ac:dyDescent="0.25">
      <c r="A93" s="479"/>
      <c r="B93" s="479"/>
      <c r="C93" s="479"/>
      <c r="D93" s="479"/>
      <c r="E93" s="479"/>
      <c r="F93" s="479"/>
      <c r="G93" s="479"/>
      <c r="H93" s="479"/>
      <c r="I93" s="479"/>
      <c r="J93" s="479"/>
      <c r="K93" s="479"/>
      <c r="L93" s="21"/>
      <c r="M93" s="21"/>
      <c r="N93" s="14"/>
      <c r="O93" s="14"/>
      <c r="P93" s="1"/>
    </row>
    <row r="94" spans="1:16" ht="15.75" x14ac:dyDescent="0.25">
      <c r="A94" s="138" t="s">
        <v>99</v>
      </c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7"/>
      <c r="O94" s="137"/>
      <c r="P94" s="1"/>
    </row>
    <row r="95" spans="1:16" ht="15.75" x14ac:dyDescent="0.25">
      <c r="A95" s="138" t="s">
        <v>100</v>
      </c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7"/>
      <c r="O95" s="137"/>
      <c r="P95" s="1"/>
    </row>
    <row r="96" spans="1:16" ht="15.75" x14ac:dyDescent="0.25">
      <c r="A96" s="14"/>
      <c r="B96" s="12" t="s">
        <v>30</v>
      </c>
      <c r="C96" s="12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"/>
    </row>
    <row r="97" spans="1:16" ht="16.5" thickBot="1" x14ac:dyDescent="0.3">
      <c r="A97" s="14"/>
      <c r="B97" s="12"/>
      <c r="C97" s="12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"/>
    </row>
    <row r="98" spans="1:16" ht="16.5" thickTop="1" x14ac:dyDescent="0.25">
      <c r="A98" s="212" t="s">
        <v>3</v>
      </c>
      <c r="B98" s="490" t="s">
        <v>4</v>
      </c>
      <c r="C98" s="491"/>
      <c r="D98" s="492" t="s">
        <v>5</v>
      </c>
      <c r="E98" s="492"/>
      <c r="F98" s="493" t="s">
        <v>6</v>
      </c>
      <c r="G98" s="494"/>
      <c r="H98" s="492" t="s">
        <v>62</v>
      </c>
      <c r="I98" s="492"/>
      <c r="J98" s="493" t="s">
        <v>7</v>
      </c>
      <c r="K98" s="505"/>
      <c r="L98" s="492" t="s">
        <v>72</v>
      </c>
      <c r="M98" s="506"/>
      <c r="N98" s="254" t="s">
        <v>8</v>
      </c>
      <c r="O98" s="315" t="s">
        <v>8</v>
      </c>
      <c r="P98" s="1"/>
    </row>
    <row r="99" spans="1:16" s="1" customFormat="1" ht="16.5" thickBot="1" x14ac:dyDescent="0.3">
      <c r="A99" s="213"/>
      <c r="B99" s="489" t="s">
        <v>9</v>
      </c>
      <c r="C99" s="496"/>
      <c r="D99" s="489" t="s">
        <v>9</v>
      </c>
      <c r="E99" s="489"/>
      <c r="F99" s="495" t="s">
        <v>9</v>
      </c>
      <c r="G99" s="496"/>
      <c r="H99" s="489" t="s">
        <v>9</v>
      </c>
      <c r="I99" s="489"/>
      <c r="J99" s="481"/>
      <c r="K99" s="20"/>
      <c r="L99" s="489" t="s">
        <v>10</v>
      </c>
      <c r="M99" s="504"/>
      <c r="N99" s="22" t="s">
        <v>11</v>
      </c>
      <c r="O99" s="316" t="s">
        <v>11</v>
      </c>
    </row>
    <row r="100" spans="1:16" s="1" customFormat="1" ht="16.5" thickBot="1" x14ac:dyDescent="0.3">
      <c r="A100" s="214"/>
      <c r="B100" s="26" t="s">
        <v>12</v>
      </c>
      <c r="C100" s="25" t="s">
        <v>13</v>
      </c>
      <c r="D100" s="26" t="s">
        <v>12</v>
      </c>
      <c r="E100" s="27" t="s">
        <v>13</v>
      </c>
      <c r="F100" s="24" t="s">
        <v>12</v>
      </c>
      <c r="G100" s="25" t="s">
        <v>13</v>
      </c>
      <c r="H100" s="26" t="s">
        <v>12</v>
      </c>
      <c r="I100" s="27" t="s">
        <v>13</v>
      </c>
      <c r="J100" s="24" t="s">
        <v>12</v>
      </c>
      <c r="K100" s="172" t="s">
        <v>13</v>
      </c>
      <c r="L100" s="26" t="s">
        <v>12</v>
      </c>
      <c r="M100" s="27" t="s">
        <v>13</v>
      </c>
      <c r="N100" s="28"/>
      <c r="O100" s="198"/>
    </row>
    <row r="101" spans="1:16" s="1" customFormat="1" ht="15.75" x14ac:dyDescent="0.25">
      <c r="A101" s="317" t="s">
        <v>14</v>
      </c>
      <c r="B101" s="360"/>
      <c r="C101" s="382"/>
      <c r="D101" s="360"/>
      <c r="E101" s="361"/>
      <c r="F101" s="366"/>
      <c r="G101" s="383"/>
      <c r="H101" s="384"/>
      <c r="I101" s="385"/>
      <c r="J101" s="366"/>
      <c r="K101" s="363"/>
      <c r="L101" s="368"/>
      <c r="M101" s="386"/>
      <c r="N101" s="37"/>
      <c r="O101" s="199"/>
    </row>
    <row r="102" spans="1:16" ht="15.75" x14ac:dyDescent="0.25">
      <c r="A102" s="216" t="s">
        <v>123</v>
      </c>
      <c r="B102" s="55">
        <v>150</v>
      </c>
      <c r="C102" s="56">
        <v>180</v>
      </c>
      <c r="D102" s="55">
        <v>4.3499999999999996</v>
      </c>
      <c r="E102" s="281">
        <f>5.8/20*18</f>
        <v>5.22</v>
      </c>
      <c r="F102" s="282">
        <v>6.9</v>
      </c>
      <c r="G102" s="56">
        <f>9.2/20*18</f>
        <v>8.2799999999999994</v>
      </c>
      <c r="H102" s="55">
        <f>15.9/2+15.9</f>
        <v>23.85</v>
      </c>
      <c r="I102" s="57">
        <f>31.8/20*18</f>
        <v>28.62</v>
      </c>
      <c r="J102" s="282">
        <v>177</v>
      </c>
      <c r="K102" s="58">
        <f>236/20*18</f>
        <v>212.4</v>
      </c>
      <c r="L102" s="55"/>
      <c r="M102" s="281"/>
      <c r="N102" s="37"/>
      <c r="O102" s="200">
        <v>96</v>
      </c>
      <c r="P102" s="1"/>
    </row>
    <row r="103" spans="1:16" s="1" customFormat="1" ht="15.75" x14ac:dyDescent="0.25">
      <c r="A103" s="216" t="s">
        <v>75</v>
      </c>
      <c r="B103" s="88">
        <v>35</v>
      </c>
      <c r="C103" s="89">
        <v>35</v>
      </c>
      <c r="D103" s="88">
        <v>2.42</v>
      </c>
      <c r="E103" s="94">
        <v>2.42</v>
      </c>
      <c r="F103" s="91">
        <v>3.9249999999999998</v>
      </c>
      <c r="G103" s="89">
        <v>3.9249999999999998</v>
      </c>
      <c r="H103" s="88">
        <v>14.57</v>
      </c>
      <c r="I103" s="94">
        <v>14.57</v>
      </c>
      <c r="J103" s="91">
        <v>103.96</v>
      </c>
      <c r="K103" s="89">
        <v>103.96</v>
      </c>
      <c r="L103" s="88"/>
      <c r="M103" s="92"/>
      <c r="N103" s="37">
        <v>1</v>
      </c>
      <c r="O103" s="200"/>
    </row>
    <row r="104" spans="1:16" ht="16.5" thickBot="1" x14ac:dyDescent="0.3">
      <c r="A104" s="323" t="s">
        <v>116</v>
      </c>
      <c r="B104" s="101">
        <v>170</v>
      </c>
      <c r="C104" s="105">
        <v>200</v>
      </c>
      <c r="D104" s="101">
        <f>2.34/15*17</f>
        <v>2.6520000000000001</v>
      </c>
      <c r="E104" s="324">
        <v>2.56</v>
      </c>
      <c r="F104" s="325">
        <f>2/15*17</f>
        <v>2.2666666666666666</v>
      </c>
      <c r="G104" s="105">
        <v>2.67</v>
      </c>
      <c r="H104" s="101">
        <f>10.53/15*17</f>
        <v>11.933999999999999</v>
      </c>
      <c r="I104" s="324">
        <v>15.95</v>
      </c>
      <c r="J104" s="325">
        <f>70/15*17</f>
        <v>79.333333333333343</v>
      </c>
      <c r="K104" s="105">
        <v>102.11</v>
      </c>
      <c r="L104" s="101">
        <f>0.98/15*17</f>
        <v>1.1106666666666665</v>
      </c>
      <c r="M104" s="324">
        <v>1.3</v>
      </c>
      <c r="N104" s="76">
        <v>414</v>
      </c>
      <c r="O104" s="251"/>
      <c r="P104" s="1"/>
    </row>
    <row r="105" spans="1:16" ht="16.5" thickBot="1" x14ac:dyDescent="0.3">
      <c r="A105" s="214"/>
      <c r="B105" s="337">
        <f>SUM(B102:B104)</f>
        <v>355</v>
      </c>
      <c r="C105" s="342">
        <f t="shared" ref="C105:M105" si="8">SUM(C102:C104)</f>
        <v>415</v>
      </c>
      <c r="D105" s="337">
        <f t="shared" si="8"/>
        <v>9.4220000000000006</v>
      </c>
      <c r="E105" s="341">
        <f t="shared" si="8"/>
        <v>10.199999999999999</v>
      </c>
      <c r="F105" s="339">
        <f t="shared" si="8"/>
        <v>13.091666666666665</v>
      </c>
      <c r="G105" s="342">
        <f t="shared" si="8"/>
        <v>14.874999999999998</v>
      </c>
      <c r="H105" s="337">
        <f t="shared" si="8"/>
        <v>50.353999999999999</v>
      </c>
      <c r="I105" s="341">
        <f t="shared" si="8"/>
        <v>59.14</v>
      </c>
      <c r="J105" s="339">
        <f t="shared" si="8"/>
        <v>360.29333333333329</v>
      </c>
      <c r="K105" s="342">
        <f t="shared" si="8"/>
        <v>418.47</v>
      </c>
      <c r="L105" s="337">
        <f t="shared" si="8"/>
        <v>1.1106666666666665</v>
      </c>
      <c r="M105" s="341">
        <f t="shared" si="8"/>
        <v>1.3</v>
      </c>
      <c r="N105" s="77"/>
      <c r="O105" s="333"/>
      <c r="P105" s="1"/>
    </row>
    <row r="106" spans="1:16" ht="16.5" thickBot="1" x14ac:dyDescent="0.3">
      <c r="A106" s="289" t="s">
        <v>18</v>
      </c>
      <c r="B106" s="387"/>
      <c r="C106" s="388"/>
      <c r="D106" s="387"/>
      <c r="E106" s="389"/>
      <c r="F106" s="390"/>
      <c r="G106" s="388"/>
      <c r="H106" s="387"/>
      <c r="I106" s="389"/>
      <c r="J106" s="390"/>
      <c r="K106" s="391"/>
      <c r="L106" s="119"/>
      <c r="M106" s="372"/>
      <c r="N106" s="107"/>
      <c r="O106" s="207"/>
      <c r="P106" s="1"/>
    </row>
    <row r="107" spans="1:16" s="1" customFormat="1" ht="16.5" thickBot="1" x14ac:dyDescent="0.3">
      <c r="A107" s="290" t="s">
        <v>111</v>
      </c>
      <c r="B107" s="337">
        <v>100</v>
      </c>
      <c r="C107" s="340">
        <v>100</v>
      </c>
      <c r="D107" s="337">
        <v>0.4</v>
      </c>
      <c r="E107" s="338">
        <v>0.4</v>
      </c>
      <c r="F107" s="339">
        <v>0.4</v>
      </c>
      <c r="G107" s="340">
        <v>0.4</v>
      </c>
      <c r="H107" s="337">
        <v>9.8000000000000007</v>
      </c>
      <c r="I107" s="341">
        <v>9.8000000000000007</v>
      </c>
      <c r="J107" s="339">
        <v>44</v>
      </c>
      <c r="K107" s="342">
        <v>44</v>
      </c>
      <c r="L107" s="337">
        <v>10</v>
      </c>
      <c r="M107" s="338">
        <v>10</v>
      </c>
      <c r="N107" s="331">
        <v>386</v>
      </c>
      <c r="O107" s="334"/>
    </row>
    <row r="108" spans="1:16" ht="15.75" x14ac:dyDescent="0.25">
      <c r="A108" s="219" t="s">
        <v>19</v>
      </c>
      <c r="B108" s="123"/>
      <c r="C108" s="124"/>
      <c r="D108" s="123"/>
      <c r="E108" s="156"/>
      <c r="F108" s="157"/>
      <c r="G108" s="124"/>
      <c r="H108" s="123"/>
      <c r="I108" s="156"/>
      <c r="J108" s="157"/>
      <c r="K108" s="126"/>
      <c r="L108" s="123"/>
      <c r="M108" s="156"/>
      <c r="N108" s="38"/>
      <c r="O108" s="199"/>
      <c r="P108" s="1"/>
    </row>
    <row r="109" spans="1:16" ht="15.75" x14ac:dyDescent="0.25">
      <c r="A109" s="319" t="s">
        <v>122</v>
      </c>
      <c r="B109" s="123">
        <v>30</v>
      </c>
      <c r="C109" s="124">
        <f>60/6*5</f>
        <v>50</v>
      </c>
      <c r="D109" s="123">
        <f>1.73/2</f>
        <v>0.86499999999999999</v>
      </c>
      <c r="E109" s="156">
        <f>1.73/6*5</f>
        <v>1.4416666666666667</v>
      </c>
      <c r="F109" s="157">
        <f>3.7/2</f>
        <v>1.85</v>
      </c>
      <c r="G109" s="124">
        <f>3.7/6*5</f>
        <v>3.0833333333333335</v>
      </c>
      <c r="H109" s="123">
        <v>2.4</v>
      </c>
      <c r="I109" s="92">
        <f>4.8/6*5</f>
        <v>3.9999999999999996</v>
      </c>
      <c r="J109" s="157">
        <f>59.6/2</f>
        <v>29.8</v>
      </c>
      <c r="K109" s="126">
        <f>59.6/6*5</f>
        <v>49.666666666666671</v>
      </c>
      <c r="L109" s="123">
        <f>5.58/2</f>
        <v>2.79</v>
      </c>
      <c r="M109" s="125">
        <f>5.58/6*5</f>
        <v>4.6500000000000004</v>
      </c>
      <c r="N109" s="107">
        <v>12</v>
      </c>
      <c r="O109" s="200"/>
      <c r="P109" s="1"/>
    </row>
    <row r="110" spans="1:16" s="1" customFormat="1" ht="15.75" x14ac:dyDescent="0.25">
      <c r="A110" s="216" t="s">
        <v>55</v>
      </c>
      <c r="B110" s="392">
        <v>150</v>
      </c>
      <c r="C110" s="393">
        <v>200</v>
      </c>
      <c r="D110" s="88">
        <v>1.0900000000000001</v>
      </c>
      <c r="E110" s="94">
        <v>1.45</v>
      </c>
      <c r="F110" s="91">
        <v>2.95</v>
      </c>
      <c r="G110" s="89">
        <v>3.93</v>
      </c>
      <c r="H110" s="88">
        <v>7.65</v>
      </c>
      <c r="I110" s="92">
        <v>10.19</v>
      </c>
      <c r="J110" s="91">
        <v>61.5</v>
      </c>
      <c r="K110" s="89">
        <v>82</v>
      </c>
      <c r="L110" s="88">
        <v>6.17</v>
      </c>
      <c r="M110" s="92">
        <v>8.23</v>
      </c>
      <c r="N110" s="37" t="s">
        <v>56</v>
      </c>
      <c r="O110" s="202"/>
    </row>
    <row r="111" spans="1:16" s="1" customFormat="1" ht="15.75" x14ac:dyDescent="0.25">
      <c r="A111" s="217" t="s">
        <v>124</v>
      </c>
      <c r="B111" s="115">
        <v>50</v>
      </c>
      <c r="C111" s="116">
        <v>70</v>
      </c>
      <c r="D111" s="115">
        <f>9.34/6*5</f>
        <v>7.7833333333333332</v>
      </c>
      <c r="E111" s="394">
        <f>12.48/8*7</f>
        <v>10.92</v>
      </c>
      <c r="F111" s="242">
        <f>9.21/6*5</f>
        <v>7.6750000000000007</v>
      </c>
      <c r="G111" s="116">
        <f>12.59/8*7</f>
        <v>11.016249999999999</v>
      </c>
      <c r="H111" s="115">
        <f>1.84/6*5</f>
        <v>1.5333333333333334</v>
      </c>
      <c r="I111" s="117">
        <f>2.45/8*7</f>
        <v>2.1437500000000003</v>
      </c>
      <c r="J111" s="242">
        <f>128/6*5</f>
        <v>106.66666666666666</v>
      </c>
      <c r="K111" s="118">
        <f>173/8*7</f>
        <v>151.375</v>
      </c>
      <c r="L111" s="115">
        <f>0.02/6*5</f>
        <v>1.6666666666666666E-2</v>
      </c>
      <c r="M111" s="394">
        <f>0.03/8*7</f>
        <v>2.6249999999999999E-2</v>
      </c>
      <c r="N111" s="45">
        <v>327</v>
      </c>
      <c r="O111" s="202"/>
    </row>
    <row r="112" spans="1:16" s="1" customFormat="1" ht="15.75" x14ac:dyDescent="0.25">
      <c r="A112" s="217" t="s">
        <v>85</v>
      </c>
      <c r="B112" s="52">
        <v>100</v>
      </c>
      <c r="C112" s="51">
        <v>130</v>
      </c>
      <c r="D112" s="176">
        <v>3.68</v>
      </c>
      <c r="E112" s="53">
        <v>4.78</v>
      </c>
      <c r="F112" s="50">
        <v>3.01</v>
      </c>
      <c r="G112" s="51">
        <v>3.91</v>
      </c>
      <c r="H112" s="176">
        <v>17.600000000000001</v>
      </c>
      <c r="I112" s="53">
        <v>22.91</v>
      </c>
      <c r="J112" s="395">
        <v>112.3</v>
      </c>
      <c r="K112" s="51">
        <v>145.99</v>
      </c>
      <c r="L112" s="52"/>
      <c r="M112" s="53"/>
      <c r="N112" s="45">
        <v>335</v>
      </c>
      <c r="O112" s="202"/>
    </row>
    <row r="113" spans="1:16" ht="15.75" x14ac:dyDescent="0.25">
      <c r="A113" s="217" t="s">
        <v>80</v>
      </c>
      <c r="B113" s="52">
        <v>15</v>
      </c>
      <c r="C113" s="51">
        <v>30</v>
      </c>
      <c r="D113" s="52">
        <v>0.01</v>
      </c>
      <c r="E113" s="53">
        <v>0.18</v>
      </c>
      <c r="F113" s="50">
        <v>0.53</v>
      </c>
      <c r="G113" s="51">
        <v>1.05</v>
      </c>
      <c r="H113" s="52">
        <v>0.55000000000000004</v>
      </c>
      <c r="I113" s="53">
        <v>1.1000000000000001</v>
      </c>
      <c r="J113" s="50">
        <v>7</v>
      </c>
      <c r="K113" s="51">
        <v>15</v>
      </c>
      <c r="L113" s="52">
        <v>0.04</v>
      </c>
      <c r="M113" s="53">
        <v>0.08</v>
      </c>
      <c r="N113" s="45">
        <v>365</v>
      </c>
      <c r="O113" s="247"/>
      <c r="P113" s="1"/>
    </row>
    <row r="114" spans="1:16" s="1" customFormat="1" ht="15.75" x14ac:dyDescent="0.25">
      <c r="A114" s="217" t="s">
        <v>115</v>
      </c>
      <c r="B114" s="88">
        <v>150</v>
      </c>
      <c r="C114" s="90">
        <v>180</v>
      </c>
      <c r="D114" s="88">
        <v>0.33</v>
      </c>
      <c r="E114" s="92">
        <v>0.4</v>
      </c>
      <c r="F114" s="50">
        <v>0.02</v>
      </c>
      <c r="G114" s="95">
        <v>0.02</v>
      </c>
      <c r="H114" s="88">
        <v>20.83</v>
      </c>
      <c r="I114" s="92">
        <v>24.99</v>
      </c>
      <c r="J114" s="91">
        <v>85</v>
      </c>
      <c r="K114" s="89">
        <v>102</v>
      </c>
      <c r="L114" s="52">
        <v>0.65</v>
      </c>
      <c r="M114" s="53">
        <v>0.86</v>
      </c>
      <c r="N114" s="45">
        <v>394</v>
      </c>
      <c r="O114" s="202"/>
    </row>
    <row r="115" spans="1:16" ht="16.5" thickBot="1" x14ac:dyDescent="0.3">
      <c r="A115" s="323" t="s">
        <v>21</v>
      </c>
      <c r="B115" s="176">
        <v>30</v>
      </c>
      <c r="C115" s="179">
        <v>40</v>
      </c>
      <c r="D115" s="176">
        <v>1.98</v>
      </c>
      <c r="E115" s="373">
        <v>2.64</v>
      </c>
      <c r="F115" s="177">
        <v>0.36</v>
      </c>
      <c r="G115" s="179">
        <v>0.48</v>
      </c>
      <c r="H115" s="176">
        <v>10.02</v>
      </c>
      <c r="I115" s="181">
        <v>13.36</v>
      </c>
      <c r="J115" s="177">
        <v>52.2</v>
      </c>
      <c r="K115" s="353">
        <v>69.599999999999994</v>
      </c>
      <c r="L115" s="176"/>
      <c r="M115" s="373"/>
      <c r="N115" s="76"/>
      <c r="O115" s="251"/>
      <c r="P115" s="1"/>
    </row>
    <row r="116" spans="1:16" ht="16.5" thickBot="1" x14ac:dyDescent="0.3">
      <c r="A116" s="214"/>
      <c r="B116" s="304">
        <f t="shared" ref="B116:M116" si="9">SUM(B109:B115)</f>
        <v>525</v>
      </c>
      <c r="C116" s="307">
        <f t="shared" si="9"/>
        <v>700</v>
      </c>
      <c r="D116" s="304">
        <f t="shared" si="9"/>
        <v>15.738333333333333</v>
      </c>
      <c r="E116" s="371">
        <f t="shared" si="9"/>
        <v>21.811666666666667</v>
      </c>
      <c r="F116" s="306">
        <f t="shared" si="9"/>
        <v>16.395</v>
      </c>
      <c r="G116" s="307">
        <f t="shared" si="9"/>
        <v>23.489583333333336</v>
      </c>
      <c r="H116" s="304">
        <f t="shared" si="9"/>
        <v>60.583333333333329</v>
      </c>
      <c r="I116" s="371">
        <f t="shared" si="9"/>
        <v>78.693749999999994</v>
      </c>
      <c r="J116" s="306">
        <f t="shared" si="9"/>
        <v>454.46666666666664</v>
      </c>
      <c r="K116" s="307">
        <f t="shared" si="9"/>
        <v>615.63166666666677</v>
      </c>
      <c r="L116" s="304">
        <f t="shared" si="9"/>
        <v>9.6666666666666679</v>
      </c>
      <c r="M116" s="371">
        <f t="shared" si="9"/>
        <v>13.84625</v>
      </c>
      <c r="N116" s="77"/>
      <c r="O116" s="333"/>
      <c r="P116" s="1"/>
    </row>
    <row r="117" spans="1:16" s="1" customFormat="1" ht="15.75" x14ac:dyDescent="0.25">
      <c r="A117" s="219" t="s">
        <v>22</v>
      </c>
      <c r="B117" s="123"/>
      <c r="C117" s="124"/>
      <c r="D117" s="123"/>
      <c r="E117" s="156"/>
      <c r="F117" s="157"/>
      <c r="G117" s="124"/>
      <c r="H117" s="123"/>
      <c r="I117" s="156"/>
      <c r="J117" s="157"/>
      <c r="K117" s="126"/>
      <c r="L117" s="115"/>
      <c r="M117" s="394"/>
      <c r="N117" s="66"/>
      <c r="O117" s="203"/>
    </row>
    <row r="118" spans="1:16" ht="15.75" x14ac:dyDescent="0.25">
      <c r="A118" s="216" t="s">
        <v>125</v>
      </c>
      <c r="B118" s="88">
        <v>150</v>
      </c>
      <c r="C118" s="128">
        <v>200</v>
      </c>
      <c r="D118" s="88">
        <v>1.7</v>
      </c>
      <c r="E118" s="92">
        <v>2.2000000000000002</v>
      </c>
      <c r="F118" s="91">
        <v>0.8</v>
      </c>
      <c r="G118" s="90">
        <v>1.1000000000000001</v>
      </c>
      <c r="H118" s="88">
        <v>6.3</v>
      </c>
      <c r="I118" s="92">
        <v>8.4</v>
      </c>
      <c r="J118" s="91">
        <v>92.5</v>
      </c>
      <c r="K118" s="89">
        <v>122.4</v>
      </c>
      <c r="L118" s="88">
        <v>0.02</v>
      </c>
      <c r="M118" s="92">
        <v>0.03</v>
      </c>
      <c r="N118" s="37"/>
      <c r="O118" s="200">
        <v>47</v>
      </c>
      <c r="P118" s="1"/>
    </row>
    <row r="119" spans="1:16" ht="15.75" x14ac:dyDescent="0.25">
      <c r="A119" s="216" t="s">
        <v>21</v>
      </c>
      <c r="B119" s="52">
        <v>15</v>
      </c>
      <c r="C119" s="51">
        <f>25/5*4</f>
        <v>20</v>
      </c>
      <c r="D119" s="52">
        <v>0.99</v>
      </c>
      <c r="E119" s="53">
        <f>1.98/5*4</f>
        <v>1.5840000000000001</v>
      </c>
      <c r="F119" s="50">
        <v>0.18</v>
      </c>
      <c r="G119" s="51">
        <f>0.36/5*4</f>
        <v>0.28799999999999998</v>
      </c>
      <c r="H119" s="52">
        <v>5.01</v>
      </c>
      <c r="I119" s="53">
        <f>10.02/5*4</f>
        <v>8.016</v>
      </c>
      <c r="J119" s="50">
        <v>26.1</v>
      </c>
      <c r="K119" s="51">
        <f>52.2/5*4</f>
        <v>41.760000000000005</v>
      </c>
      <c r="L119" s="52"/>
      <c r="M119" s="142"/>
      <c r="N119" s="37"/>
      <c r="O119" s="200"/>
      <c r="P119" s="1"/>
    </row>
    <row r="120" spans="1:16" s="1" customFormat="1" ht="15.75" x14ac:dyDescent="0.25">
      <c r="A120" s="217" t="s">
        <v>76</v>
      </c>
      <c r="B120" s="88" t="s">
        <v>15</v>
      </c>
      <c r="C120" s="90" t="s">
        <v>16</v>
      </c>
      <c r="D120" s="88">
        <v>0.04</v>
      </c>
      <c r="E120" s="92">
        <v>7.0000000000000007E-2</v>
      </c>
      <c r="F120" s="91">
        <v>0.01</v>
      </c>
      <c r="G120" s="90">
        <v>0.02</v>
      </c>
      <c r="H120" s="88">
        <v>6.99</v>
      </c>
      <c r="I120" s="92">
        <v>11.1</v>
      </c>
      <c r="J120" s="91">
        <v>28</v>
      </c>
      <c r="K120" s="89">
        <v>44.44</v>
      </c>
      <c r="L120" s="88">
        <v>0.02</v>
      </c>
      <c r="M120" s="92">
        <v>0.03</v>
      </c>
      <c r="N120" s="37" t="s">
        <v>17</v>
      </c>
      <c r="O120" s="202"/>
    </row>
    <row r="121" spans="1:16" s="1" customFormat="1" ht="16.5" thickBot="1" x14ac:dyDescent="0.3">
      <c r="A121" s="323" t="s">
        <v>98</v>
      </c>
      <c r="B121" s="55">
        <v>20</v>
      </c>
      <c r="C121" s="56">
        <v>20</v>
      </c>
      <c r="D121" s="55">
        <v>0.16</v>
      </c>
      <c r="E121" s="281">
        <v>0.16</v>
      </c>
      <c r="F121" s="282">
        <v>0.02</v>
      </c>
      <c r="G121" s="56">
        <v>0.02</v>
      </c>
      <c r="H121" s="55">
        <v>15.96</v>
      </c>
      <c r="I121" s="57">
        <v>15.96</v>
      </c>
      <c r="J121" s="282">
        <v>65</v>
      </c>
      <c r="K121" s="58">
        <v>65</v>
      </c>
      <c r="L121" s="55"/>
      <c r="M121" s="281"/>
      <c r="N121" s="42"/>
      <c r="O121" s="251"/>
    </row>
    <row r="122" spans="1:16" ht="16.5" thickBot="1" x14ac:dyDescent="0.3">
      <c r="A122" s="214"/>
      <c r="B122" s="304">
        <f>SUM(B118:B121)+157</f>
        <v>342</v>
      </c>
      <c r="C122" s="307">
        <f>SUM(C118:C121)+210</f>
        <v>450</v>
      </c>
      <c r="D122" s="304">
        <f t="shared" ref="D122:M122" si="10">SUM(D118:D121)</f>
        <v>2.89</v>
      </c>
      <c r="E122" s="371">
        <f t="shared" si="10"/>
        <v>4.0140000000000002</v>
      </c>
      <c r="F122" s="306">
        <f t="shared" si="10"/>
        <v>1.01</v>
      </c>
      <c r="G122" s="307">
        <f t="shared" si="10"/>
        <v>1.4280000000000002</v>
      </c>
      <c r="H122" s="304">
        <f t="shared" si="10"/>
        <v>34.26</v>
      </c>
      <c r="I122" s="371">
        <f t="shared" si="10"/>
        <v>43.475999999999999</v>
      </c>
      <c r="J122" s="306">
        <f t="shared" si="10"/>
        <v>211.6</v>
      </c>
      <c r="K122" s="307">
        <f t="shared" si="10"/>
        <v>273.60000000000002</v>
      </c>
      <c r="L122" s="304">
        <f t="shared" si="10"/>
        <v>0.04</v>
      </c>
      <c r="M122" s="371">
        <f t="shared" si="10"/>
        <v>0.06</v>
      </c>
      <c r="N122" s="77"/>
      <c r="O122" s="333"/>
    </row>
    <row r="123" spans="1:16" ht="16.5" thickBot="1" x14ac:dyDescent="0.3">
      <c r="A123" s="322"/>
      <c r="B123" s="381"/>
      <c r="C123" s="396"/>
      <c r="D123" s="381"/>
      <c r="E123" s="397"/>
      <c r="F123" s="320"/>
      <c r="G123" s="398"/>
      <c r="H123" s="381"/>
      <c r="I123" s="397"/>
      <c r="J123" s="320"/>
      <c r="K123" s="396"/>
      <c r="L123" s="381"/>
      <c r="M123" s="399"/>
      <c r="N123" s="296"/>
      <c r="O123" s="332"/>
    </row>
    <row r="124" spans="1:16" ht="17.25" thickTop="1" thickBot="1" x14ac:dyDescent="0.3">
      <c r="A124" s="295" t="s">
        <v>31</v>
      </c>
      <c r="B124" s="381">
        <f>B105+B107+B116+B122</f>
        <v>1322</v>
      </c>
      <c r="C124" s="335">
        <f>C105+C107+C116+C122</f>
        <v>1665</v>
      </c>
      <c r="D124" s="381">
        <f t="shared" ref="D124:M124" si="11">D105+D107+D116+D122</f>
        <v>28.450333333333333</v>
      </c>
      <c r="E124" s="380">
        <f t="shared" si="11"/>
        <v>36.425666666666672</v>
      </c>
      <c r="F124" s="320">
        <f t="shared" si="11"/>
        <v>30.896666666666665</v>
      </c>
      <c r="G124" s="335">
        <f t="shared" si="11"/>
        <v>40.192583333333332</v>
      </c>
      <c r="H124" s="381">
        <f t="shared" si="11"/>
        <v>154.99733333333333</v>
      </c>
      <c r="I124" s="380">
        <f t="shared" si="11"/>
        <v>191.10974999999999</v>
      </c>
      <c r="J124" s="320">
        <f t="shared" si="11"/>
        <v>1070.3599999999999</v>
      </c>
      <c r="K124" s="335">
        <f>K105+K107+K116+K122</f>
        <v>1351.7016666666668</v>
      </c>
      <c r="L124" s="381">
        <f t="shared" si="11"/>
        <v>20.817333333333334</v>
      </c>
      <c r="M124" s="380">
        <f t="shared" si="11"/>
        <v>25.206250000000001</v>
      </c>
      <c r="N124" s="296"/>
      <c r="O124" s="297"/>
    </row>
    <row r="125" spans="1:16" ht="16.5" thickTop="1" x14ac:dyDescent="0.25">
      <c r="A125" s="136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2"/>
    </row>
    <row r="126" spans="1:16" ht="15.75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6" ht="15.75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6" s="1" customFormat="1" ht="15.75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6" s="1" customFormat="1" ht="15.7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6" s="1" customFormat="1" ht="15.7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6" s="1" customFormat="1" ht="15.7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6" ht="15.7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6" s="1" customFormat="1" ht="15.7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6" s="1" customFormat="1" ht="15.75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6" s="1" customFormat="1" ht="15.75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6" s="1" customFormat="1" ht="15.75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6" s="1" customFormat="1" ht="15.75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6" ht="15.75" x14ac:dyDescent="0.25">
      <c r="A138" s="9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6" ht="15.75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6" ht="15.75" x14ac:dyDescent="0.25">
      <c r="A140" s="12" t="s">
        <v>99</v>
      </c>
      <c r="B140" s="479"/>
      <c r="C140" s="479"/>
      <c r="D140" s="479"/>
      <c r="E140" s="479"/>
      <c r="F140" s="479"/>
      <c r="G140" s="479"/>
      <c r="H140" s="479"/>
      <c r="I140" s="479"/>
      <c r="J140" s="479"/>
      <c r="K140" s="479"/>
      <c r="L140" s="21"/>
      <c r="M140" s="21"/>
      <c r="N140" s="14"/>
      <c r="O140" s="21"/>
      <c r="P140" s="1"/>
    </row>
    <row r="141" spans="1:16" ht="15.75" x14ac:dyDescent="0.25">
      <c r="A141" s="12" t="s">
        <v>101</v>
      </c>
      <c r="B141" s="12" t="s">
        <v>32</v>
      </c>
      <c r="C141" s="12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"/>
    </row>
    <row r="142" spans="1:16" s="1" customFormat="1" ht="16.5" thickBot="1" x14ac:dyDescent="0.3">
      <c r="A142" s="14"/>
      <c r="B142" s="12"/>
      <c r="C142" s="12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6" s="1" customFormat="1" ht="16.5" thickTop="1" x14ac:dyDescent="0.25">
      <c r="A143" s="263" t="s">
        <v>3</v>
      </c>
      <c r="B143" s="497" t="s">
        <v>4</v>
      </c>
      <c r="C143" s="491"/>
      <c r="D143" s="493" t="s">
        <v>5</v>
      </c>
      <c r="E143" s="492"/>
      <c r="F143" s="493" t="s">
        <v>6</v>
      </c>
      <c r="G143" s="494"/>
      <c r="H143" s="492" t="s">
        <v>62</v>
      </c>
      <c r="I143" s="494"/>
      <c r="J143" s="492" t="s">
        <v>7</v>
      </c>
      <c r="K143" s="506"/>
      <c r="L143" s="493" t="s">
        <v>72</v>
      </c>
      <c r="M143" s="505"/>
      <c r="N143" s="406" t="s">
        <v>8</v>
      </c>
      <c r="O143" s="315" t="s">
        <v>8</v>
      </c>
    </row>
    <row r="144" spans="1:16" s="1" customFormat="1" ht="16.5" thickBot="1" x14ac:dyDescent="0.3">
      <c r="A144" s="213"/>
      <c r="B144" s="495" t="s">
        <v>9</v>
      </c>
      <c r="C144" s="496"/>
      <c r="D144" s="495" t="s">
        <v>9</v>
      </c>
      <c r="E144" s="489"/>
      <c r="F144" s="495" t="s">
        <v>9</v>
      </c>
      <c r="G144" s="496"/>
      <c r="H144" s="489" t="s">
        <v>9</v>
      </c>
      <c r="I144" s="496"/>
      <c r="J144" s="483"/>
      <c r="K144" s="78"/>
      <c r="L144" s="495" t="s">
        <v>10</v>
      </c>
      <c r="M144" s="503"/>
      <c r="N144" s="23" t="s">
        <v>11</v>
      </c>
      <c r="O144" s="316" t="s">
        <v>11</v>
      </c>
    </row>
    <row r="145" spans="1:16" s="1" customFormat="1" ht="16.5" thickBot="1" x14ac:dyDescent="0.3">
      <c r="A145" s="214"/>
      <c r="B145" s="24" t="s">
        <v>12</v>
      </c>
      <c r="C145" s="25" t="s">
        <v>13</v>
      </c>
      <c r="D145" s="24" t="s">
        <v>12</v>
      </c>
      <c r="E145" s="27" t="s">
        <v>13</v>
      </c>
      <c r="F145" s="24" t="s">
        <v>12</v>
      </c>
      <c r="G145" s="172" t="s">
        <v>13</v>
      </c>
      <c r="H145" s="26" t="s">
        <v>12</v>
      </c>
      <c r="I145" s="172" t="s">
        <v>13</v>
      </c>
      <c r="J145" s="26" t="s">
        <v>12</v>
      </c>
      <c r="K145" s="444" t="s">
        <v>13</v>
      </c>
      <c r="L145" s="24" t="s">
        <v>12</v>
      </c>
      <c r="M145" s="172" t="s">
        <v>13</v>
      </c>
      <c r="N145" s="183"/>
      <c r="O145" s="28"/>
    </row>
    <row r="146" spans="1:16" s="1" customFormat="1" ht="15.75" x14ac:dyDescent="0.25">
      <c r="A146" s="255" t="s">
        <v>14</v>
      </c>
      <c r="B146" s="141"/>
      <c r="C146" s="267"/>
      <c r="D146" s="141"/>
      <c r="E146" s="400"/>
      <c r="F146" s="82"/>
      <c r="G146" s="271"/>
      <c r="H146" s="32"/>
      <c r="I146" s="274"/>
      <c r="J146" s="83"/>
      <c r="K146" s="272"/>
      <c r="L146" s="85"/>
      <c r="M146" s="113"/>
      <c r="N146" s="145"/>
      <c r="O146" s="199"/>
    </row>
    <row r="147" spans="1:16" ht="15.75" x14ac:dyDescent="0.25">
      <c r="A147" s="258" t="s">
        <v>69</v>
      </c>
      <c r="B147" s="60">
        <v>150</v>
      </c>
      <c r="C147" s="44">
        <v>200</v>
      </c>
      <c r="D147" s="91">
        <v>4.3099999999999996</v>
      </c>
      <c r="E147" s="94">
        <v>5.75</v>
      </c>
      <c r="F147" s="91">
        <v>3.91</v>
      </c>
      <c r="G147" s="89">
        <v>5.21</v>
      </c>
      <c r="H147" s="88">
        <v>14.13</v>
      </c>
      <c r="I147" s="89">
        <v>18.84</v>
      </c>
      <c r="J147" s="88">
        <v>108.9</v>
      </c>
      <c r="K147" s="94">
        <v>145.19999999999999</v>
      </c>
      <c r="L147" s="91">
        <v>0.68</v>
      </c>
      <c r="M147" s="89">
        <v>0.91</v>
      </c>
      <c r="N147" s="44">
        <v>100</v>
      </c>
      <c r="O147" s="200"/>
      <c r="P147" s="1"/>
    </row>
    <row r="148" spans="1:16" s="1" customFormat="1" ht="15.75" x14ac:dyDescent="0.25">
      <c r="A148" s="257" t="s">
        <v>93</v>
      </c>
      <c r="B148" s="68">
        <f>30/6*7</f>
        <v>35</v>
      </c>
      <c r="C148" s="54">
        <v>40</v>
      </c>
      <c r="D148" s="50">
        <f>(4.73-0.04)/4*3/6*7</f>
        <v>4.1037500000000007</v>
      </c>
      <c r="E148" s="53">
        <v>4.6900000000000004</v>
      </c>
      <c r="F148" s="50">
        <f>(6.88-3.625)/4*3/6*7</f>
        <v>2.8481250000000005</v>
      </c>
      <c r="G148" s="51">
        <v>3.2549999999999999</v>
      </c>
      <c r="H148" s="52">
        <f>(14.56-0.065)/4*3/6*7</f>
        <v>12.683124999999999</v>
      </c>
      <c r="I148" s="51">
        <v>14.494999999999999</v>
      </c>
      <c r="J148" s="52">
        <f>(139-33)/4*3/6*7</f>
        <v>92.75</v>
      </c>
      <c r="K148" s="53">
        <v>106</v>
      </c>
      <c r="L148" s="50">
        <f>0.07/6*7</f>
        <v>8.1666666666666665E-2</v>
      </c>
      <c r="M148" s="51">
        <v>7.0000000000000007E-2</v>
      </c>
      <c r="N148" s="51">
        <v>3</v>
      </c>
      <c r="O148" s="249"/>
    </row>
    <row r="149" spans="1:16" ht="16.5" thickBot="1" x14ac:dyDescent="0.3">
      <c r="A149" s="407" t="s">
        <v>105</v>
      </c>
      <c r="B149" s="159">
        <v>170</v>
      </c>
      <c r="C149" s="185">
        <v>200</v>
      </c>
      <c r="D149" s="161">
        <f>3.15/15*17</f>
        <v>3.57</v>
      </c>
      <c r="E149" s="405">
        <v>4.08</v>
      </c>
      <c r="F149" s="161">
        <f>2.72/15*17</f>
        <v>3.0826666666666669</v>
      </c>
      <c r="G149" s="163">
        <v>3.54</v>
      </c>
      <c r="H149" s="232">
        <f>12.96/15*17</f>
        <v>14.688000000000002</v>
      </c>
      <c r="I149" s="163">
        <v>17.579999999999998</v>
      </c>
      <c r="J149" s="232">
        <f>89/15*17</f>
        <v>100.86666666666667</v>
      </c>
      <c r="K149" s="405">
        <v>118.89</v>
      </c>
      <c r="L149" s="161">
        <f>1.2/15*17</f>
        <v>1.36</v>
      </c>
      <c r="M149" s="163">
        <v>1.58</v>
      </c>
      <c r="N149" s="149">
        <v>416</v>
      </c>
      <c r="O149" s="201"/>
      <c r="P149" s="1"/>
    </row>
    <row r="150" spans="1:16" ht="16.5" thickBot="1" x14ac:dyDescent="0.3">
      <c r="A150" s="265"/>
      <c r="B150" s="277">
        <f>SUM(B147:B149)</f>
        <v>355</v>
      </c>
      <c r="C150" s="278">
        <f t="shared" ref="C150:M150" si="12">SUM(C147:C149)</f>
        <v>440</v>
      </c>
      <c r="D150" s="306">
        <f t="shared" si="12"/>
        <v>11.983750000000001</v>
      </c>
      <c r="E150" s="371">
        <f t="shared" si="12"/>
        <v>14.520000000000001</v>
      </c>
      <c r="F150" s="306">
        <f t="shared" si="12"/>
        <v>9.8407916666666679</v>
      </c>
      <c r="G150" s="307">
        <f t="shared" si="12"/>
        <v>12.004999999999999</v>
      </c>
      <c r="H150" s="304">
        <f t="shared" si="12"/>
        <v>41.501125000000002</v>
      </c>
      <c r="I150" s="307">
        <f t="shared" si="12"/>
        <v>50.914999999999999</v>
      </c>
      <c r="J150" s="304">
        <f t="shared" si="12"/>
        <v>302.51666666666665</v>
      </c>
      <c r="K150" s="371">
        <f t="shared" si="12"/>
        <v>370.09</v>
      </c>
      <c r="L150" s="306">
        <f t="shared" si="12"/>
        <v>2.121666666666667</v>
      </c>
      <c r="M150" s="307">
        <f t="shared" si="12"/>
        <v>2.56</v>
      </c>
      <c r="N150" s="308"/>
      <c r="O150" s="333"/>
      <c r="P150" s="1"/>
    </row>
    <row r="151" spans="1:16" s="1" customFormat="1" ht="16.5" thickBot="1" x14ac:dyDescent="0.3">
      <c r="A151" s="284" t="s">
        <v>18</v>
      </c>
      <c r="B151" s="109"/>
      <c r="C151" s="482"/>
      <c r="D151" s="120"/>
      <c r="E151" s="129"/>
      <c r="F151" s="120"/>
      <c r="G151" s="178"/>
      <c r="H151" s="119"/>
      <c r="I151" s="178"/>
      <c r="J151" s="119"/>
      <c r="K151" s="129"/>
      <c r="L151" s="120"/>
      <c r="M151" s="178"/>
      <c r="N151" s="130"/>
      <c r="O151" s="207"/>
    </row>
    <row r="152" spans="1:16" ht="16.5" thickBot="1" x14ac:dyDescent="0.3">
      <c r="A152" s="408" t="s">
        <v>106</v>
      </c>
      <c r="B152" s="313">
        <f>130/13*10</f>
        <v>100</v>
      </c>
      <c r="C152" s="310">
        <v>100</v>
      </c>
      <c r="D152" s="313">
        <f>3.38/13*10</f>
        <v>2.6</v>
      </c>
      <c r="E152" s="314">
        <v>2.6</v>
      </c>
      <c r="F152" s="313">
        <f>3.25/13*10</f>
        <v>2.5</v>
      </c>
      <c r="G152" s="310">
        <v>2.5</v>
      </c>
      <c r="H152" s="311">
        <f>14.3/13*10</f>
        <v>11</v>
      </c>
      <c r="I152" s="310">
        <v>11</v>
      </c>
      <c r="J152" s="311">
        <f>101/13*10</f>
        <v>77.692307692307693</v>
      </c>
      <c r="K152" s="314">
        <v>77.691999999999993</v>
      </c>
      <c r="L152" s="313"/>
      <c r="M152" s="310"/>
      <c r="N152" s="183">
        <v>418</v>
      </c>
      <c r="O152" s="198"/>
      <c r="P152" s="1"/>
    </row>
    <row r="153" spans="1:16" ht="15.75" x14ac:dyDescent="0.25">
      <c r="A153" s="259" t="s">
        <v>19</v>
      </c>
      <c r="B153" s="60"/>
      <c r="C153" s="44"/>
      <c r="D153" s="91"/>
      <c r="E153" s="94"/>
      <c r="F153" s="91"/>
      <c r="G153" s="89"/>
      <c r="H153" s="88"/>
      <c r="I153" s="89"/>
      <c r="J153" s="88"/>
      <c r="K153" s="94"/>
      <c r="L153" s="91"/>
      <c r="M153" s="89"/>
      <c r="N153" s="44"/>
      <c r="O153" s="200"/>
      <c r="P153" s="1"/>
    </row>
    <row r="154" spans="1:16" ht="15.75" x14ac:dyDescent="0.25">
      <c r="A154" s="258" t="s">
        <v>129</v>
      </c>
      <c r="B154" s="60">
        <v>30</v>
      </c>
      <c r="C154" s="44">
        <v>50</v>
      </c>
      <c r="D154" s="91">
        <v>0.42</v>
      </c>
      <c r="E154" s="94">
        <f>0.84/6*5</f>
        <v>0.7</v>
      </c>
      <c r="F154" s="91">
        <f>3.05/2</f>
        <v>1.5249999999999999</v>
      </c>
      <c r="G154" s="89">
        <f>3.05/6*5</f>
        <v>2.5416666666666665</v>
      </c>
      <c r="H154" s="88">
        <f>5.19/2</f>
        <v>2.5950000000000002</v>
      </c>
      <c r="I154" s="89">
        <f>5.19/6*5</f>
        <v>4.3250000000000002</v>
      </c>
      <c r="J154" s="88">
        <v>26</v>
      </c>
      <c r="K154" s="94">
        <f>52/6*5</f>
        <v>43.333333333333329</v>
      </c>
      <c r="L154" s="91">
        <f>20.97/2</f>
        <v>10.484999999999999</v>
      </c>
      <c r="M154" s="89">
        <f>20.97/6*5</f>
        <v>17.474999999999998</v>
      </c>
      <c r="N154" s="44">
        <v>21</v>
      </c>
      <c r="O154" s="200"/>
      <c r="P154" s="1"/>
    </row>
    <row r="155" spans="1:16" ht="15.75" x14ac:dyDescent="0.25">
      <c r="A155" s="257" t="s">
        <v>107</v>
      </c>
      <c r="B155" s="62">
        <v>150</v>
      </c>
      <c r="C155" s="186">
        <v>200</v>
      </c>
      <c r="D155" s="50">
        <v>1.82</v>
      </c>
      <c r="E155" s="53">
        <v>2.4300000000000002</v>
      </c>
      <c r="F155" s="50">
        <v>1.95</v>
      </c>
      <c r="G155" s="51">
        <v>2.6</v>
      </c>
      <c r="H155" s="52">
        <v>8.36</v>
      </c>
      <c r="I155" s="51">
        <v>11.14</v>
      </c>
      <c r="J155" s="52">
        <v>58.35</v>
      </c>
      <c r="K155" s="53">
        <v>77.8</v>
      </c>
      <c r="L155" s="50">
        <v>4.5449999999999999</v>
      </c>
      <c r="M155" s="51">
        <v>6.06</v>
      </c>
      <c r="N155" s="54" t="s">
        <v>54</v>
      </c>
      <c r="O155" s="202"/>
      <c r="P155" s="1"/>
    </row>
    <row r="156" spans="1:16" ht="15.75" x14ac:dyDescent="0.25">
      <c r="A156" s="409" t="s">
        <v>58</v>
      </c>
      <c r="B156" s="190">
        <v>60</v>
      </c>
      <c r="C156" s="44">
        <v>80</v>
      </c>
      <c r="D156" s="157">
        <v>8.9</v>
      </c>
      <c r="E156" s="125">
        <v>11.8</v>
      </c>
      <c r="F156" s="157">
        <v>4</v>
      </c>
      <c r="G156" s="126">
        <v>6.1</v>
      </c>
      <c r="H156" s="123">
        <v>10</v>
      </c>
      <c r="I156" s="89">
        <v>13.4</v>
      </c>
      <c r="J156" s="91">
        <v>120</v>
      </c>
      <c r="K156" s="125">
        <v>160</v>
      </c>
      <c r="L156" s="157"/>
      <c r="M156" s="126"/>
      <c r="N156" s="21">
        <v>123</v>
      </c>
      <c r="O156" s="199"/>
      <c r="P156" s="1"/>
    </row>
    <row r="157" spans="1:16" ht="15.75" x14ac:dyDescent="0.25">
      <c r="A157" s="258" t="s">
        <v>67</v>
      </c>
      <c r="B157" s="190">
        <v>100</v>
      </c>
      <c r="C157" s="145">
        <v>130</v>
      </c>
      <c r="D157" s="157">
        <v>2.4300000000000002</v>
      </c>
      <c r="E157" s="125">
        <v>3.16</v>
      </c>
      <c r="F157" s="157">
        <v>3.58</v>
      </c>
      <c r="G157" s="126">
        <v>4.6500000000000004</v>
      </c>
      <c r="H157" s="123">
        <v>24.45</v>
      </c>
      <c r="I157" s="126">
        <v>31.8</v>
      </c>
      <c r="J157" s="123">
        <v>139.83000000000001</v>
      </c>
      <c r="K157" s="125">
        <v>181.74</v>
      </c>
      <c r="L157" s="242"/>
      <c r="M157" s="118"/>
      <c r="N157" s="54">
        <v>332</v>
      </c>
      <c r="O157" s="202"/>
      <c r="P157" s="1"/>
    </row>
    <row r="158" spans="1:16" ht="15.75" x14ac:dyDescent="0.25">
      <c r="A158" s="257" t="s">
        <v>80</v>
      </c>
      <c r="B158" s="68">
        <v>15</v>
      </c>
      <c r="C158" s="54">
        <v>30</v>
      </c>
      <c r="D158" s="50">
        <v>0.01</v>
      </c>
      <c r="E158" s="53">
        <v>0.18</v>
      </c>
      <c r="F158" s="50">
        <v>0.53</v>
      </c>
      <c r="G158" s="51">
        <v>1.05</v>
      </c>
      <c r="H158" s="52">
        <v>0.55000000000000004</v>
      </c>
      <c r="I158" s="51">
        <v>1.1000000000000001</v>
      </c>
      <c r="J158" s="52">
        <v>7</v>
      </c>
      <c r="K158" s="53">
        <v>15</v>
      </c>
      <c r="L158" s="50">
        <v>0.04</v>
      </c>
      <c r="M158" s="51">
        <v>0.08</v>
      </c>
      <c r="N158" s="54">
        <v>365</v>
      </c>
      <c r="O158" s="247"/>
      <c r="P158" s="1"/>
    </row>
    <row r="159" spans="1:16" s="1" customFormat="1" ht="15.75" x14ac:dyDescent="0.25">
      <c r="A159" s="257" t="s">
        <v>81</v>
      </c>
      <c r="B159" s="68">
        <v>150</v>
      </c>
      <c r="C159" s="54">
        <f>200/20*18</f>
        <v>180</v>
      </c>
      <c r="D159" s="50">
        <v>0.14399999999999999</v>
      </c>
      <c r="E159" s="53">
        <f>0.44/20*18/18*20</f>
        <v>0.43999999999999995</v>
      </c>
      <c r="F159" s="50">
        <v>0.14399999999999999</v>
      </c>
      <c r="G159" s="51">
        <f>0.192/20*18/18*20</f>
        <v>0.192</v>
      </c>
      <c r="H159" s="52">
        <v>17.91</v>
      </c>
      <c r="I159" s="51">
        <f>23.88/20*18/18*20</f>
        <v>23.88</v>
      </c>
      <c r="J159" s="52">
        <v>73.2</v>
      </c>
      <c r="K159" s="53">
        <f>97.6/20*18/18*20</f>
        <v>97.6</v>
      </c>
      <c r="L159" s="50">
        <v>1.64</v>
      </c>
      <c r="M159" s="51">
        <f>2.28/20*18/18*20</f>
        <v>2.2799999999999994</v>
      </c>
      <c r="N159" s="54">
        <v>390</v>
      </c>
      <c r="O159" s="247"/>
    </row>
    <row r="160" spans="1:16" ht="16.5" thickBot="1" x14ac:dyDescent="0.3">
      <c r="A160" s="262" t="s">
        <v>21</v>
      </c>
      <c r="B160" s="70">
        <v>30</v>
      </c>
      <c r="C160" s="133">
        <v>40</v>
      </c>
      <c r="D160" s="177">
        <v>1.98</v>
      </c>
      <c r="E160" s="181">
        <v>2.64</v>
      </c>
      <c r="F160" s="177">
        <v>0.36</v>
      </c>
      <c r="G160" s="353">
        <v>0.48</v>
      </c>
      <c r="H160" s="176">
        <v>10.02</v>
      </c>
      <c r="I160" s="353">
        <v>13.36</v>
      </c>
      <c r="J160" s="176">
        <v>52.2</v>
      </c>
      <c r="K160" s="181">
        <v>69.599999999999994</v>
      </c>
      <c r="L160" s="177"/>
      <c r="M160" s="353"/>
      <c r="N160" s="75"/>
      <c r="O160" s="251"/>
      <c r="P160" s="1"/>
    </row>
    <row r="161" spans="1:16" ht="16.5" thickBot="1" x14ac:dyDescent="0.3">
      <c r="A161" s="408"/>
      <c r="B161" s="277">
        <f t="shared" ref="B161:M161" si="13">SUM(B154:B160)</f>
        <v>535</v>
      </c>
      <c r="C161" s="278">
        <f t="shared" si="13"/>
        <v>710</v>
      </c>
      <c r="D161" s="306">
        <f t="shared" si="13"/>
        <v>15.704000000000001</v>
      </c>
      <c r="E161" s="371">
        <f t="shared" si="13"/>
        <v>21.35</v>
      </c>
      <c r="F161" s="306">
        <f t="shared" si="13"/>
        <v>12.088999999999999</v>
      </c>
      <c r="G161" s="307">
        <f t="shared" si="13"/>
        <v>17.613666666666667</v>
      </c>
      <c r="H161" s="304">
        <f t="shared" si="13"/>
        <v>73.884999999999991</v>
      </c>
      <c r="I161" s="307">
        <f t="shared" si="13"/>
        <v>99.00500000000001</v>
      </c>
      <c r="J161" s="304">
        <f t="shared" si="13"/>
        <v>476.58</v>
      </c>
      <c r="K161" s="371">
        <f t="shared" si="13"/>
        <v>645.07333333333338</v>
      </c>
      <c r="L161" s="306">
        <f t="shared" si="13"/>
        <v>16.709999999999997</v>
      </c>
      <c r="M161" s="307">
        <f t="shared" si="13"/>
        <v>25.894999999999996</v>
      </c>
      <c r="N161" s="308"/>
      <c r="O161" s="333"/>
      <c r="P161" s="1"/>
    </row>
    <row r="162" spans="1:16" ht="15.75" x14ac:dyDescent="0.25">
      <c r="A162" s="255" t="s">
        <v>22</v>
      </c>
      <c r="B162" s="190"/>
      <c r="C162" s="145"/>
      <c r="D162" s="157"/>
      <c r="E162" s="125"/>
      <c r="F162" s="157"/>
      <c r="G162" s="126"/>
      <c r="H162" s="123"/>
      <c r="I162" s="126"/>
      <c r="J162" s="123"/>
      <c r="K162" s="125"/>
      <c r="L162" s="242"/>
      <c r="M162" s="118"/>
      <c r="N162" s="67"/>
      <c r="O162" s="203"/>
      <c r="P162" s="1"/>
    </row>
    <row r="163" spans="1:16" ht="15.75" x14ac:dyDescent="0.25">
      <c r="A163" s="258" t="s">
        <v>109</v>
      </c>
      <c r="B163" s="60">
        <f>100/20*13</f>
        <v>65</v>
      </c>
      <c r="C163" s="44">
        <f>150/15*8</f>
        <v>80</v>
      </c>
      <c r="D163" s="91">
        <f>15.14/20*13</f>
        <v>9.8409999999999993</v>
      </c>
      <c r="E163" s="94">
        <f>23.1/15*8</f>
        <v>12.32</v>
      </c>
      <c r="F163" s="91">
        <f>10.76/20*13</f>
        <v>6.9940000000000007</v>
      </c>
      <c r="G163" s="89">
        <f>16.14/15*8</f>
        <v>8.6080000000000005</v>
      </c>
      <c r="H163" s="88">
        <f>24.34/20*13</f>
        <v>15.821000000000002</v>
      </c>
      <c r="I163" s="89">
        <f>36.5/15*8</f>
        <v>19.466666666666665</v>
      </c>
      <c r="J163" s="88">
        <f>254/20*13</f>
        <v>165.1</v>
      </c>
      <c r="K163" s="94">
        <f>382.5/15*8</f>
        <v>204</v>
      </c>
      <c r="L163" s="50">
        <f>0.02/20*13</f>
        <v>1.3000000000000001E-2</v>
      </c>
      <c r="M163" s="51">
        <f>0.29/15*8</f>
        <v>0.15466666666666665</v>
      </c>
      <c r="N163" s="54">
        <v>249</v>
      </c>
      <c r="O163" s="250"/>
      <c r="P163" s="1"/>
    </row>
    <row r="164" spans="1:16" s="1" customFormat="1" ht="15.75" x14ac:dyDescent="0.25">
      <c r="A164" s="258" t="s">
        <v>108</v>
      </c>
      <c r="B164" s="60">
        <v>15</v>
      </c>
      <c r="C164" s="44">
        <f>30/3*2</f>
        <v>20</v>
      </c>
      <c r="D164" s="91">
        <v>0.28999999999999998</v>
      </c>
      <c r="E164" s="94">
        <f>0.58/3*2</f>
        <v>0.38666666666666666</v>
      </c>
      <c r="F164" s="91">
        <v>0.68</v>
      </c>
      <c r="G164" s="89">
        <f>1.36/3*2</f>
        <v>0.90666666666666673</v>
      </c>
      <c r="H164" s="88">
        <v>1.99</v>
      </c>
      <c r="I164" s="89">
        <f>3.98/3*2</f>
        <v>2.6533333333333333</v>
      </c>
      <c r="J164" s="88">
        <v>15.2</v>
      </c>
      <c r="K164" s="94">
        <f>30.4/3*2</f>
        <v>20.266666666666666</v>
      </c>
      <c r="L164" s="91">
        <v>0.05</v>
      </c>
      <c r="M164" s="89">
        <f>0.1/3*2</f>
        <v>6.6666666666666666E-2</v>
      </c>
      <c r="N164" s="44">
        <v>369</v>
      </c>
      <c r="O164" s="250"/>
    </row>
    <row r="165" spans="1:16" s="1" customFormat="1" ht="16.5" thickBot="1" x14ac:dyDescent="0.3">
      <c r="A165" s="261" t="s">
        <v>76</v>
      </c>
      <c r="B165" s="188" t="s">
        <v>15</v>
      </c>
      <c r="C165" s="43" t="s">
        <v>16</v>
      </c>
      <c r="D165" s="282">
        <v>0.04</v>
      </c>
      <c r="E165" s="57">
        <v>7.0000000000000007E-2</v>
      </c>
      <c r="F165" s="282">
        <v>0.01</v>
      </c>
      <c r="G165" s="58">
        <v>0.02</v>
      </c>
      <c r="H165" s="55">
        <v>6.99</v>
      </c>
      <c r="I165" s="58">
        <v>11.1</v>
      </c>
      <c r="J165" s="55">
        <v>28</v>
      </c>
      <c r="K165" s="57">
        <v>44.44</v>
      </c>
      <c r="L165" s="282">
        <v>0.02</v>
      </c>
      <c r="M165" s="58">
        <v>0.03</v>
      </c>
      <c r="N165" s="43" t="s">
        <v>17</v>
      </c>
      <c r="O165" s="251"/>
    </row>
    <row r="166" spans="1:16" ht="16.5" thickBot="1" x14ac:dyDescent="0.3">
      <c r="A166" s="408"/>
      <c r="B166" s="313">
        <f>SUM(B163:B165)+157</f>
        <v>237</v>
      </c>
      <c r="C166" s="310">
        <f>SUM(C163:C165)+210</f>
        <v>310</v>
      </c>
      <c r="D166" s="339">
        <f t="shared" ref="D166:M166" si="14">SUM(D163:D165)</f>
        <v>10.170999999999998</v>
      </c>
      <c r="E166" s="341">
        <f t="shared" si="14"/>
        <v>12.776666666666667</v>
      </c>
      <c r="F166" s="339">
        <f t="shared" si="14"/>
        <v>7.6840000000000002</v>
      </c>
      <c r="G166" s="342">
        <f t="shared" si="14"/>
        <v>9.5346666666666664</v>
      </c>
      <c r="H166" s="337">
        <f t="shared" si="14"/>
        <v>24.801000000000002</v>
      </c>
      <c r="I166" s="342">
        <f t="shared" si="14"/>
        <v>33.22</v>
      </c>
      <c r="J166" s="337">
        <f t="shared" si="14"/>
        <v>208.29999999999998</v>
      </c>
      <c r="K166" s="341">
        <f t="shared" si="14"/>
        <v>268.70666666666665</v>
      </c>
      <c r="L166" s="339">
        <f t="shared" si="14"/>
        <v>8.3000000000000004E-2</v>
      </c>
      <c r="M166" s="342">
        <f t="shared" si="14"/>
        <v>0.2513333333333333</v>
      </c>
      <c r="N166" s="183"/>
      <c r="O166" s="333"/>
    </row>
    <row r="167" spans="1:16" ht="16.5" thickBot="1" x14ac:dyDescent="0.3">
      <c r="A167" s="262"/>
      <c r="B167" s="109"/>
      <c r="C167" s="482"/>
      <c r="D167" s="120"/>
      <c r="E167" s="129"/>
      <c r="F167" s="120"/>
      <c r="G167" s="178"/>
      <c r="H167" s="119"/>
      <c r="I167" s="178"/>
      <c r="J167" s="119"/>
      <c r="K167" s="129"/>
      <c r="L167" s="120"/>
      <c r="M167" s="178"/>
      <c r="N167" s="130"/>
      <c r="O167" s="252"/>
    </row>
    <row r="168" spans="1:16" ht="17.25" thickTop="1" thickBot="1" x14ac:dyDescent="0.3">
      <c r="A168" s="223" t="s">
        <v>35</v>
      </c>
      <c r="B168" s="195">
        <f t="shared" ref="B168:M168" si="15">B150+B152+B161+B166</f>
        <v>1227</v>
      </c>
      <c r="C168" s="195">
        <f t="shared" si="15"/>
        <v>1560</v>
      </c>
      <c r="D168" s="196">
        <f t="shared" si="15"/>
        <v>40.458750000000002</v>
      </c>
      <c r="E168" s="430">
        <f t="shared" si="15"/>
        <v>51.24666666666667</v>
      </c>
      <c r="F168" s="196">
        <f t="shared" si="15"/>
        <v>32.113791666666664</v>
      </c>
      <c r="G168" s="196">
        <f t="shared" si="15"/>
        <v>41.653333333333336</v>
      </c>
      <c r="H168" s="196">
        <f t="shared" si="15"/>
        <v>151.18712499999998</v>
      </c>
      <c r="I168" s="359">
        <f t="shared" si="15"/>
        <v>194.14000000000001</v>
      </c>
      <c r="J168" s="358">
        <f t="shared" si="15"/>
        <v>1065.0889743589744</v>
      </c>
      <c r="K168" s="196">
        <f t="shared" si="15"/>
        <v>1361.5620000000001</v>
      </c>
      <c r="L168" s="196">
        <f t="shared" si="15"/>
        <v>18.914666666666662</v>
      </c>
      <c r="M168" s="196">
        <f t="shared" si="15"/>
        <v>28.70633333333333</v>
      </c>
      <c r="N168" s="194"/>
      <c r="O168" s="431"/>
    </row>
    <row r="169" spans="1:16" s="1" customFormat="1" ht="16.5" thickTop="1" x14ac:dyDescent="0.25">
      <c r="A169" s="136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21"/>
    </row>
    <row r="170" spans="1:16" s="1" customFormat="1" ht="15.75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</row>
    <row r="171" spans="1:16" s="1" customFormat="1" ht="15.75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6" s="1" customFormat="1" ht="15.75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</row>
    <row r="173" spans="1:16" s="1" customFormat="1" ht="15.75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16" s="1" customFormat="1" ht="15.75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</row>
    <row r="175" spans="1:16" s="1" customFormat="1" ht="15.75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</row>
    <row r="176" spans="1:16" s="1" customFormat="1" ht="15.75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</row>
    <row r="177" spans="1:16" s="1" customFormat="1" ht="15.75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</row>
    <row r="178" spans="1:16" s="1" customFormat="1" ht="15.75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</row>
    <row r="179" spans="1:16" s="1" customFormat="1" ht="15.75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</row>
    <row r="180" spans="1:16" s="1" customFormat="1" ht="15.75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</row>
    <row r="181" spans="1:16" s="1" customFormat="1" ht="15.75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</row>
    <row r="182" spans="1:16" s="1" customFormat="1" ht="15.75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</row>
    <row r="183" spans="1:16" s="1" customFormat="1" ht="15.75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6" ht="15.75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"/>
    </row>
    <row r="185" spans="1:16" ht="15.75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"/>
    </row>
    <row r="186" spans="1:16" ht="15.75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"/>
    </row>
    <row r="187" spans="1:16" ht="15.75" x14ac:dyDescent="0.25">
      <c r="A187" s="12" t="s">
        <v>99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"/>
    </row>
    <row r="188" spans="1:16" ht="15.75" x14ac:dyDescent="0.25">
      <c r="A188" s="12" t="s">
        <v>102</v>
      </c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"/>
    </row>
    <row r="189" spans="1:16" ht="15.75" x14ac:dyDescent="0.25">
      <c r="A189" s="14"/>
      <c r="B189" s="12" t="s">
        <v>36</v>
      </c>
      <c r="C189" s="12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"/>
    </row>
    <row r="190" spans="1:16" ht="16.5" thickBot="1" x14ac:dyDescent="0.3">
      <c r="A190" s="14"/>
      <c r="B190" s="12"/>
      <c r="C190" s="12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21"/>
      <c r="P190" s="1"/>
    </row>
    <row r="191" spans="1:16" ht="16.5" thickTop="1" x14ac:dyDescent="0.25">
      <c r="A191" s="263" t="s">
        <v>3</v>
      </c>
      <c r="B191" s="497" t="s">
        <v>4</v>
      </c>
      <c r="C191" s="491"/>
      <c r="D191" s="492" t="s">
        <v>5</v>
      </c>
      <c r="E191" s="492"/>
      <c r="F191" s="493" t="s">
        <v>6</v>
      </c>
      <c r="G191" s="494"/>
      <c r="H191" s="492" t="s">
        <v>62</v>
      </c>
      <c r="I191" s="492"/>
      <c r="J191" s="493" t="s">
        <v>7</v>
      </c>
      <c r="K191" s="505"/>
      <c r="L191" s="492" t="s">
        <v>72</v>
      </c>
      <c r="M191" s="506"/>
      <c r="N191" s="254" t="s">
        <v>8</v>
      </c>
      <c r="O191" s="315" t="s">
        <v>8</v>
      </c>
      <c r="P191" s="1"/>
    </row>
    <row r="192" spans="1:16" ht="16.5" thickBot="1" x14ac:dyDescent="0.3">
      <c r="A192" s="321"/>
      <c r="B192" s="498" t="s">
        <v>9</v>
      </c>
      <c r="C192" s="499"/>
      <c r="D192" s="500" t="s">
        <v>9</v>
      </c>
      <c r="E192" s="500"/>
      <c r="F192" s="498" t="s">
        <v>9</v>
      </c>
      <c r="G192" s="499"/>
      <c r="H192" s="500" t="s">
        <v>9</v>
      </c>
      <c r="I192" s="500"/>
      <c r="J192" s="481"/>
      <c r="K192" s="20"/>
      <c r="L192" s="500" t="s">
        <v>10</v>
      </c>
      <c r="M192" s="507"/>
      <c r="N192" s="93" t="s">
        <v>11</v>
      </c>
      <c r="O192" s="442" t="s">
        <v>11</v>
      </c>
      <c r="P192" s="1"/>
    </row>
    <row r="193" spans="1:16" s="1" customFormat="1" ht="16.5" thickBot="1" x14ac:dyDescent="0.3">
      <c r="A193" s="214"/>
      <c r="B193" s="443" t="s">
        <v>12</v>
      </c>
      <c r="C193" s="25" t="s">
        <v>13</v>
      </c>
      <c r="D193" s="26" t="s">
        <v>12</v>
      </c>
      <c r="E193" s="444" t="s">
        <v>13</v>
      </c>
      <c r="F193" s="443" t="s">
        <v>12</v>
      </c>
      <c r="G193" s="25" t="s">
        <v>13</v>
      </c>
      <c r="H193" s="26" t="s">
        <v>12</v>
      </c>
      <c r="I193" s="444" t="s">
        <v>13</v>
      </c>
      <c r="J193" s="24" t="s">
        <v>12</v>
      </c>
      <c r="K193" s="172" t="s">
        <v>13</v>
      </c>
      <c r="L193" s="26" t="s">
        <v>12</v>
      </c>
      <c r="M193" s="444" t="s">
        <v>13</v>
      </c>
      <c r="N193" s="28"/>
      <c r="O193" s="28"/>
    </row>
    <row r="194" spans="1:16" ht="15.75" x14ac:dyDescent="0.25">
      <c r="A194" s="255" t="s">
        <v>14</v>
      </c>
      <c r="B194" s="411"/>
      <c r="C194" s="81"/>
      <c r="D194" s="80"/>
      <c r="E194" s="416"/>
      <c r="F194" s="417"/>
      <c r="G194" s="34"/>
      <c r="H194" s="83"/>
      <c r="I194" s="272"/>
      <c r="J194" s="82"/>
      <c r="K194" s="271"/>
      <c r="L194" s="35"/>
      <c r="M194" s="275"/>
      <c r="N194" s="166"/>
      <c r="O194" s="435"/>
      <c r="P194" s="1"/>
    </row>
    <row r="195" spans="1:16" s="1" customFormat="1" ht="15.75" x14ac:dyDescent="0.25">
      <c r="A195" s="258" t="s">
        <v>110</v>
      </c>
      <c r="B195" s="146">
        <v>150</v>
      </c>
      <c r="C195" s="47">
        <v>200</v>
      </c>
      <c r="D195" s="88">
        <v>3.6</v>
      </c>
      <c r="E195" s="94">
        <v>4.8</v>
      </c>
      <c r="F195" s="96">
        <v>6.15</v>
      </c>
      <c r="G195" s="90">
        <v>8.1999999999999993</v>
      </c>
      <c r="H195" s="88">
        <v>22.8</v>
      </c>
      <c r="I195" s="94">
        <v>30.4</v>
      </c>
      <c r="J195" s="91">
        <v>162</v>
      </c>
      <c r="K195" s="89">
        <v>216</v>
      </c>
      <c r="L195" s="88"/>
      <c r="M195" s="94"/>
      <c r="N195" s="59"/>
      <c r="O195" s="436">
        <v>96</v>
      </c>
    </row>
    <row r="196" spans="1:16" s="1" customFormat="1" ht="15.75" x14ac:dyDescent="0.25">
      <c r="A196" s="257" t="s">
        <v>76</v>
      </c>
      <c r="B196" s="146" t="s">
        <v>88</v>
      </c>
      <c r="C196" s="47" t="s">
        <v>71</v>
      </c>
      <c r="D196" s="88">
        <f>0.04/15*16</f>
        <v>4.2666666666666665E-2</v>
      </c>
      <c r="E196" s="94">
        <f>0.07/2*1.8</f>
        <v>6.3000000000000014E-2</v>
      </c>
      <c r="F196" s="96">
        <f>0.01/15*16</f>
        <v>1.0666666666666666E-2</v>
      </c>
      <c r="G196" s="90">
        <f>0.02/2*1.8</f>
        <v>1.8000000000000002E-2</v>
      </c>
      <c r="H196" s="88">
        <f>6.99/15*16</f>
        <v>7.4560000000000004</v>
      </c>
      <c r="I196" s="94">
        <f>11.1/2*1.8</f>
        <v>9.99</v>
      </c>
      <c r="J196" s="91">
        <f>28/15*16</f>
        <v>29.866666666666667</v>
      </c>
      <c r="K196" s="89">
        <f>44.44/2*1.8</f>
        <v>39.996000000000002</v>
      </c>
      <c r="L196" s="88">
        <f>0.02/15*16</f>
        <v>2.1333333333333333E-2</v>
      </c>
      <c r="M196" s="94">
        <f>0.03/2*1.8</f>
        <v>2.7E-2</v>
      </c>
      <c r="N196" s="37" t="s">
        <v>17</v>
      </c>
      <c r="O196" s="200"/>
    </row>
    <row r="197" spans="1:16" ht="16.5" thickBot="1" x14ac:dyDescent="0.3">
      <c r="A197" s="261" t="s">
        <v>93</v>
      </c>
      <c r="B197" s="420">
        <f>30/6*7</f>
        <v>35</v>
      </c>
      <c r="C197" s="291">
        <v>40</v>
      </c>
      <c r="D197" s="101">
        <f>(4.73-0.04)/4*3/6*7</f>
        <v>4.1037500000000007</v>
      </c>
      <c r="E197" s="324">
        <v>4.6900000000000004</v>
      </c>
      <c r="F197" s="421">
        <f>(6.88-3.625)/4*3/6*7</f>
        <v>2.8481250000000005</v>
      </c>
      <c r="G197" s="102">
        <v>3.2549999999999999</v>
      </c>
      <c r="H197" s="101">
        <f>(14.56-0.065)/4*3/6*7</f>
        <v>12.683124999999999</v>
      </c>
      <c r="I197" s="324">
        <v>14.494999999999999</v>
      </c>
      <c r="J197" s="325">
        <f>(139-33)/4*3/6*7</f>
        <v>92.75</v>
      </c>
      <c r="K197" s="105">
        <v>106</v>
      </c>
      <c r="L197" s="101">
        <f>0.07/6*7</f>
        <v>8.1666666666666665E-2</v>
      </c>
      <c r="M197" s="324">
        <v>7.0000000000000007E-2</v>
      </c>
      <c r="N197" s="422">
        <v>3</v>
      </c>
      <c r="O197" s="437"/>
      <c r="P197" s="1"/>
    </row>
    <row r="198" spans="1:16" ht="16.5" thickBot="1" x14ac:dyDescent="0.3">
      <c r="A198" s="408"/>
      <c r="B198" s="424">
        <f>SUM(B195:B197)+167</f>
        <v>352</v>
      </c>
      <c r="C198" s="336">
        <f>SUM(C195:C197)+210</f>
        <v>450</v>
      </c>
      <c r="D198" s="337">
        <f t="shared" ref="D198:M198" si="16">SUM(D195:D197)</f>
        <v>7.7464166666666676</v>
      </c>
      <c r="E198" s="341">
        <f>SUM(E195:E197)</f>
        <v>9.5530000000000008</v>
      </c>
      <c r="F198" s="425">
        <f t="shared" si="16"/>
        <v>9.0087916666666672</v>
      </c>
      <c r="G198" s="340">
        <f t="shared" si="16"/>
        <v>11.472999999999999</v>
      </c>
      <c r="H198" s="337">
        <f t="shared" si="16"/>
        <v>42.939124999999997</v>
      </c>
      <c r="I198" s="341">
        <f t="shared" si="16"/>
        <v>54.884999999999998</v>
      </c>
      <c r="J198" s="339">
        <f t="shared" si="16"/>
        <v>284.61666666666667</v>
      </c>
      <c r="K198" s="342">
        <f t="shared" si="16"/>
        <v>361.99599999999998</v>
      </c>
      <c r="L198" s="337">
        <f t="shared" si="16"/>
        <v>0.10299999999999999</v>
      </c>
      <c r="M198" s="341">
        <f t="shared" si="16"/>
        <v>9.7000000000000003E-2</v>
      </c>
      <c r="N198" s="331"/>
      <c r="O198" s="438"/>
      <c r="P198" s="1"/>
    </row>
    <row r="199" spans="1:16" ht="16.5" thickBot="1" x14ac:dyDescent="0.3">
      <c r="A199" s="284" t="s">
        <v>18</v>
      </c>
      <c r="B199" s="481"/>
      <c r="C199" s="127"/>
      <c r="D199" s="119"/>
      <c r="E199" s="129"/>
      <c r="F199" s="410"/>
      <c r="G199" s="128"/>
      <c r="H199" s="119"/>
      <c r="I199" s="129"/>
      <c r="J199" s="120"/>
      <c r="K199" s="178"/>
      <c r="L199" s="119"/>
      <c r="M199" s="129"/>
      <c r="N199" s="170"/>
      <c r="O199" s="439">
        <f>47.3*2+34</f>
        <v>128.6</v>
      </c>
      <c r="P199" s="1"/>
    </row>
    <row r="200" spans="1:16" ht="16.5" thickBot="1" x14ac:dyDescent="0.3">
      <c r="A200" s="408" t="s">
        <v>111</v>
      </c>
      <c r="B200" s="424">
        <v>100</v>
      </c>
      <c r="C200" s="336">
        <v>100</v>
      </c>
      <c r="D200" s="337">
        <v>0.4</v>
      </c>
      <c r="E200" s="341">
        <v>0.4</v>
      </c>
      <c r="F200" s="425">
        <v>0.4</v>
      </c>
      <c r="G200" s="340">
        <v>0.4</v>
      </c>
      <c r="H200" s="337">
        <v>9.8000000000000007</v>
      </c>
      <c r="I200" s="341">
        <v>9.8000000000000007</v>
      </c>
      <c r="J200" s="339">
        <v>44</v>
      </c>
      <c r="K200" s="342">
        <v>44</v>
      </c>
      <c r="L200" s="337">
        <v>10</v>
      </c>
      <c r="M200" s="341">
        <v>10</v>
      </c>
      <c r="N200" s="331">
        <v>386</v>
      </c>
      <c r="O200" s="334"/>
      <c r="P200" s="1"/>
    </row>
    <row r="201" spans="1:16" ht="15.75" x14ac:dyDescent="0.25">
      <c r="A201" s="259" t="s">
        <v>19</v>
      </c>
      <c r="B201" s="146"/>
      <c r="C201" s="47"/>
      <c r="D201" s="88"/>
      <c r="E201" s="94"/>
      <c r="F201" s="96"/>
      <c r="G201" s="90"/>
      <c r="H201" s="88"/>
      <c r="I201" s="94"/>
      <c r="J201" s="91"/>
      <c r="K201" s="89"/>
      <c r="L201" s="88"/>
      <c r="M201" s="94"/>
      <c r="N201" s="59"/>
      <c r="O201" s="318"/>
      <c r="P201" s="1"/>
    </row>
    <row r="202" spans="1:16" ht="15.75" x14ac:dyDescent="0.25">
      <c r="A202" s="216" t="s">
        <v>130</v>
      </c>
      <c r="B202" s="46">
        <v>30</v>
      </c>
      <c r="C202" s="44">
        <f>60/6*5</f>
        <v>50</v>
      </c>
      <c r="D202" s="88">
        <v>0.34</v>
      </c>
      <c r="E202" s="89">
        <f>0.68/6*5</f>
        <v>0.56666666666666665</v>
      </c>
      <c r="F202" s="88">
        <f>3.71/2</f>
        <v>1.855</v>
      </c>
      <c r="G202" s="89">
        <f>3.71/6*5</f>
        <v>3.0916666666666663</v>
      </c>
      <c r="H202" s="88">
        <f>2.83/2</f>
        <v>1.415</v>
      </c>
      <c r="I202" s="89">
        <f>2.83/6*5</f>
        <v>2.3583333333333334</v>
      </c>
      <c r="J202" s="91">
        <v>16</v>
      </c>
      <c r="K202" s="89">
        <f>47/6*5</f>
        <v>39.166666666666664</v>
      </c>
      <c r="L202" s="88">
        <f>12.25/2</f>
        <v>6.125</v>
      </c>
      <c r="M202" s="89">
        <f>12.25/6*5</f>
        <v>10.208333333333332</v>
      </c>
      <c r="N202" s="482">
        <v>14</v>
      </c>
      <c r="O202" s="200"/>
      <c r="P202" s="1"/>
    </row>
    <row r="203" spans="1:16" ht="15.75" x14ac:dyDescent="0.25">
      <c r="A203" s="258" t="s">
        <v>84</v>
      </c>
      <c r="B203" s="414">
        <v>150</v>
      </c>
      <c r="C203" s="63">
        <v>200</v>
      </c>
      <c r="D203" s="88">
        <v>1.1000000000000001</v>
      </c>
      <c r="E203" s="94">
        <v>1.4</v>
      </c>
      <c r="F203" s="96">
        <v>2.6</v>
      </c>
      <c r="G203" s="90">
        <v>3.4</v>
      </c>
      <c r="H203" s="88">
        <v>4.7</v>
      </c>
      <c r="I203" s="94">
        <v>6.2</v>
      </c>
      <c r="J203" s="91">
        <v>45.6</v>
      </c>
      <c r="K203" s="89">
        <v>60.8</v>
      </c>
      <c r="L203" s="88"/>
      <c r="M203" s="94"/>
      <c r="N203" s="59"/>
      <c r="O203" s="318">
        <v>49</v>
      </c>
      <c r="P203" s="1"/>
    </row>
    <row r="204" spans="1:16" s="1" customFormat="1" ht="15.75" x14ac:dyDescent="0.25">
      <c r="A204" s="258" t="s">
        <v>64</v>
      </c>
      <c r="B204" s="415">
        <f>60/6*5</f>
        <v>50</v>
      </c>
      <c r="C204" s="65">
        <f>80/8*7</f>
        <v>70</v>
      </c>
      <c r="D204" s="115">
        <f>6.26/6*5</f>
        <v>5.2166666666666659</v>
      </c>
      <c r="E204" s="117">
        <f>8.33/8*7</f>
        <v>7.2887500000000003</v>
      </c>
      <c r="F204" s="419">
        <f>19.3/6*5</f>
        <v>16.083333333333336</v>
      </c>
      <c r="G204" s="116">
        <f>25.63/8*7</f>
        <v>22.42625</v>
      </c>
      <c r="H204" s="115">
        <f>8.97/6*5</f>
        <v>7.4750000000000005</v>
      </c>
      <c r="I204" s="117">
        <f>11.64/8*7</f>
        <v>10.185</v>
      </c>
      <c r="J204" s="242">
        <f>235/6*5</f>
        <v>195.83333333333331</v>
      </c>
      <c r="K204" s="118">
        <f>311/8*7</f>
        <v>272.125</v>
      </c>
      <c r="L204" s="115"/>
      <c r="M204" s="117"/>
      <c r="N204" s="167">
        <v>299</v>
      </c>
      <c r="O204" s="318"/>
    </row>
    <row r="205" spans="1:16" ht="15.75" x14ac:dyDescent="0.25">
      <c r="A205" s="257" t="s">
        <v>79</v>
      </c>
      <c r="B205" s="146">
        <f>120/12*10</f>
        <v>100</v>
      </c>
      <c r="C205" s="47">
        <f>150/15*12</f>
        <v>120</v>
      </c>
      <c r="D205" s="119">
        <f>2.45/12*10</f>
        <v>2.041666666666667</v>
      </c>
      <c r="E205" s="94">
        <f>3.06/15*12</f>
        <v>2.4480000000000004</v>
      </c>
      <c r="F205" s="96">
        <f>3.84/12*10</f>
        <v>3.2</v>
      </c>
      <c r="G205" s="90">
        <f>4.8/15*12</f>
        <v>3.84</v>
      </c>
      <c r="H205" s="119">
        <f>16.35/12*10</f>
        <v>13.625</v>
      </c>
      <c r="I205" s="94">
        <f>20.44/15*12</f>
        <v>16.352</v>
      </c>
      <c r="J205" s="91">
        <f>110/12*10</f>
        <v>91.666666666666657</v>
      </c>
      <c r="K205" s="89">
        <f>137/15*12</f>
        <v>109.6</v>
      </c>
      <c r="L205" s="52">
        <f>14.53/12*10</f>
        <v>12.108333333333333</v>
      </c>
      <c r="M205" s="53">
        <f>18.16/15*12</f>
        <v>14.528000000000002</v>
      </c>
      <c r="N205" s="167">
        <v>339</v>
      </c>
      <c r="O205" s="318"/>
      <c r="P205" s="1"/>
    </row>
    <row r="206" spans="1:16" ht="15.75" x14ac:dyDescent="0.25">
      <c r="A206" s="257" t="s">
        <v>80</v>
      </c>
      <c r="B206" s="412">
        <v>15</v>
      </c>
      <c r="C206" s="72">
        <f>30/3*2</f>
        <v>20</v>
      </c>
      <c r="D206" s="52">
        <v>0.01</v>
      </c>
      <c r="E206" s="53">
        <f>0.18/3*2</f>
        <v>0.12</v>
      </c>
      <c r="F206" s="180">
        <v>0.53</v>
      </c>
      <c r="G206" s="95">
        <f>1.05/3*2</f>
        <v>0.70000000000000007</v>
      </c>
      <c r="H206" s="52">
        <v>0.55000000000000004</v>
      </c>
      <c r="I206" s="53">
        <f>1.1/3*2</f>
        <v>0.73333333333333339</v>
      </c>
      <c r="J206" s="50">
        <v>7</v>
      </c>
      <c r="K206" s="51">
        <f>15/3*2</f>
        <v>10</v>
      </c>
      <c r="L206" s="52">
        <v>0.04</v>
      </c>
      <c r="M206" s="53">
        <f>0.08/3*2</f>
        <v>5.3333333333333337E-2</v>
      </c>
      <c r="N206" s="167">
        <v>365</v>
      </c>
      <c r="O206" s="441"/>
      <c r="P206" s="1"/>
    </row>
    <row r="207" spans="1:16" s="1" customFormat="1" ht="15.75" x14ac:dyDescent="0.25">
      <c r="A207" s="258" t="s">
        <v>73</v>
      </c>
      <c r="B207" s="146">
        <v>150</v>
      </c>
      <c r="C207" s="47">
        <v>200</v>
      </c>
      <c r="D207" s="88"/>
      <c r="E207" s="94"/>
      <c r="F207" s="96"/>
      <c r="G207" s="90"/>
      <c r="H207" s="88">
        <v>25</v>
      </c>
      <c r="I207" s="94">
        <v>30.6</v>
      </c>
      <c r="J207" s="91">
        <v>89</v>
      </c>
      <c r="K207" s="89">
        <v>119</v>
      </c>
      <c r="L207" s="52"/>
      <c r="M207" s="53"/>
      <c r="N207" s="167"/>
      <c r="O207" s="441">
        <v>201</v>
      </c>
    </row>
    <row r="208" spans="1:16" s="1" customFormat="1" ht="16.5" thickBot="1" x14ac:dyDescent="0.3">
      <c r="A208" s="262" t="s">
        <v>21</v>
      </c>
      <c r="B208" s="428">
        <v>30</v>
      </c>
      <c r="C208" s="131">
        <v>40</v>
      </c>
      <c r="D208" s="176">
        <v>1.98</v>
      </c>
      <c r="E208" s="181">
        <v>2.64</v>
      </c>
      <c r="F208" s="429">
        <v>0.36</v>
      </c>
      <c r="G208" s="179">
        <v>0.48</v>
      </c>
      <c r="H208" s="176">
        <v>10.02</v>
      </c>
      <c r="I208" s="181">
        <v>13.36</v>
      </c>
      <c r="J208" s="177">
        <v>52.2</v>
      </c>
      <c r="K208" s="353">
        <v>69.599999999999994</v>
      </c>
      <c r="L208" s="176"/>
      <c r="M208" s="181"/>
      <c r="N208" s="422"/>
      <c r="O208" s="437"/>
    </row>
    <row r="209" spans="1:15" s="1" customFormat="1" ht="16.5" thickBot="1" x14ac:dyDescent="0.3">
      <c r="A209" s="408"/>
      <c r="B209" s="283">
        <f t="shared" ref="B209:M209" si="17">SUM(B202:B208)</f>
        <v>525</v>
      </c>
      <c r="C209" s="303">
        <f t="shared" si="17"/>
        <v>700</v>
      </c>
      <c r="D209" s="304">
        <f t="shared" si="17"/>
        <v>10.688333333333334</v>
      </c>
      <c r="E209" s="371">
        <f t="shared" si="17"/>
        <v>14.463416666666667</v>
      </c>
      <c r="F209" s="370">
        <f t="shared" si="17"/>
        <v>24.628333333333334</v>
      </c>
      <c r="G209" s="305">
        <f t="shared" si="17"/>
        <v>33.937916666666666</v>
      </c>
      <c r="H209" s="304">
        <f t="shared" si="17"/>
        <v>62.784999999999997</v>
      </c>
      <c r="I209" s="371">
        <f t="shared" si="17"/>
        <v>79.788666666666657</v>
      </c>
      <c r="J209" s="306">
        <f t="shared" si="17"/>
        <v>497.3</v>
      </c>
      <c r="K209" s="307">
        <f t="shared" si="17"/>
        <v>680.29166666666674</v>
      </c>
      <c r="L209" s="304">
        <f t="shared" si="17"/>
        <v>18.273333333333333</v>
      </c>
      <c r="M209" s="371">
        <f t="shared" si="17"/>
        <v>24.789666666666669</v>
      </c>
      <c r="N209" s="171"/>
      <c r="O209" s="438"/>
    </row>
    <row r="210" spans="1:15" s="1" customFormat="1" ht="15.75" x14ac:dyDescent="0.25">
      <c r="A210" s="255" t="s">
        <v>22</v>
      </c>
      <c r="B210" s="423"/>
      <c r="C210" s="122"/>
      <c r="D210" s="123"/>
      <c r="E210" s="125"/>
      <c r="F210" s="158"/>
      <c r="G210" s="124"/>
      <c r="H210" s="123"/>
      <c r="I210" s="125"/>
      <c r="J210" s="157"/>
      <c r="K210" s="126"/>
      <c r="L210" s="115"/>
      <c r="M210" s="117"/>
      <c r="N210" s="426"/>
      <c r="O210" s="440"/>
    </row>
    <row r="211" spans="1:15" s="1" customFormat="1" ht="15.75" x14ac:dyDescent="0.25">
      <c r="A211" s="257" t="s">
        <v>112</v>
      </c>
      <c r="B211" s="146">
        <f>75/15*10</f>
        <v>50</v>
      </c>
      <c r="C211" s="47">
        <v>50</v>
      </c>
      <c r="D211" s="88">
        <f>5.46/15*10</f>
        <v>3.6399999999999997</v>
      </c>
      <c r="E211" s="94">
        <v>3.64</v>
      </c>
      <c r="F211" s="96">
        <f>9.36/15*10</f>
        <v>6.24</v>
      </c>
      <c r="G211" s="90">
        <v>6.24</v>
      </c>
      <c r="H211" s="88">
        <f>40.44/15*10</f>
        <v>26.959999999999997</v>
      </c>
      <c r="I211" s="94">
        <v>26.96</v>
      </c>
      <c r="J211" s="91">
        <f>267/15*10</f>
        <v>178</v>
      </c>
      <c r="K211" s="89">
        <f>267/15*10</f>
        <v>178</v>
      </c>
      <c r="L211" s="52"/>
      <c r="M211" s="53"/>
      <c r="N211" s="59">
        <v>452</v>
      </c>
      <c r="O211" s="436"/>
    </row>
    <row r="212" spans="1:15" s="1" customFormat="1" ht="16.5" thickBot="1" x14ac:dyDescent="0.3">
      <c r="A212" s="261" t="s">
        <v>113</v>
      </c>
      <c r="B212" s="420">
        <v>150</v>
      </c>
      <c r="C212" s="291">
        <v>180</v>
      </c>
      <c r="D212" s="101">
        <v>4.58</v>
      </c>
      <c r="E212" s="324">
        <f>6.09/2*1.8</f>
        <v>5.4809999999999999</v>
      </c>
      <c r="F212" s="421">
        <v>4.08</v>
      </c>
      <c r="G212" s="102">
        <f>5.42/2*1.8</f>
        <v>4.8780000000000001</v>
      </c>
      <c r="H212" s="101">
        <v>7.58</v>
      </c>
      <c r="I212" s="324">
        <f>10.08/2*1.8</f>
        <v>9.072000000000001</v>
      </c>
      <c r="J212" s="325">
        <v>85</v>
      </c>
      <c r="K212" s="105">
        <f>113.33/2*1.8</f>
        <v>101.997</v>
      </c>
      <c r="L212" s="101">
        <v>2.0499999999999998</v>
      </c>
      <c r="M212" s="324">
        <v>2.73</v>
      </c>
      <c r="N212" s="422">
        <v>419</v>
      </c>
      <c r="O212" s="437"/>
    </row>
    <row r="213" spans="1:15" ht="16.5" thickBot="1" x14ac:dyDescent="0.3">
      <c r="A213" s="265"/>
      <c r="B213" s="424">
        <f t="shared" ref="B213:M213" si="18">SUM(B211:B212)</f>
        <v>200</v>
      </c>
      <c r="C213" s="336">
        <f t="shared" si="18"/>
        <v>230</v>
      </c>
      <c r="D213" s="337">
        <f t="shared" si="18"/>
        <v>8.2199999999999989</v>
      </c>
      <c r="E213" s="341">
        <f t="shared" si="18"/>
        <v>9.1210000000000004</v>
      </c>
      <c r="F213" s="425">
        <f t="shared" si="18"/>
        <v>10.32</v>
      </c>
      <c r="G213" s="340">
        <f t="shared" si="18"/>
        <v>11.118</v>
      </c>
      <c r="H213" s="337">
        <f t="shared" si="18"/>
        <v>34.54</v>
      </c>
      <c r="I213" s="341">
        <f t="shared" si="18"/>
        <v>36.032000000000004</v>
      </c>
      <c r="J213" s="339">
        <f t="shared" si="18"/>
        <v>263</v>
      </c>
      <c r="K213" s="342">
        <f t="shared" si="18"/>
        <v>279.99700000000001</v>
      </c>
      <c r="L213" s="337">
        <f t="shared" si="18"/>
        <v>2.0499999999999998</v>
      </c>
      <c r="M213" s="341">
        <f t="shared" si="18"/>
        <v>2.73</v>
      </c>
      <c r="N213" s="331"/>
      <c r="O213" s="334"/>
    </row>
    <row r="214" spans="1:15" ht="16.5" thickBot="1" x14ac:dyDescent="0.3">
      <c r="A214" s="292"/>
      <c r="B214" s="481"/>
      <c r="C214" s="127"/>
      <c r="D214" s="119"/>
      <c r="E214" s="129"/>
      <c r="F214" s="410"/>
      <c r="G214" s="128"/>
      <c r="H214" s="119"/>
      <c r="I214" s="129"/>
      <c r="J214" s="120"/>
      <c r="K214" s="178"/>
      <c r="L214" s="119"/>
      <c r="M214" s="129"/>
      <c r="N214" s="170"/>
      <c r="O214" s="439"/>
    </row>
    <row r="215" spans="1:15" ht="17.25" thickTop="1" thickBot="1" x14ac:dyDescent="0.3">
      <c r="A215" s="432" t="s">
        <v>37</v>
      </c>
      <c r="B215" s="195">
        <f t="shared" ref="B215:M215" si="19">B198+B200+B209+B213</f>
        <v>1177</v>
      </c>
      <c r="C215" s="194">
        <f t="shared" si="19"/>
        <v>1480</v>
      </c>
      <c r="D215" s="358">
        <f t="shared" si="19"/>
        <v>27.054749999999999</v>
      </c>
      <c r="E215" s="430">
        <f t="shared" si="19"/>
        <v>33.537416666666672</v>
      </c>
      <c r="F215" s="196">
        <f t="shared" si="19"/>
        <v>44.357125000000003</v>
      </c>
      <c r="G215" s="359">
        <f t="shared" si="19"/>
        <v>56.928916666666666</v>
      </c>
      <c r="H215" s="358">
        <f t="shared" si="19"/>
        <v>150.06412499999999</v>
      </c>
      <c r="I215" s="430">
        <f t="shared" si="19"/>
        <v>180.50566666666666</v>
      </c>
      <c r="J215" s="196">
        <f t="shared" si="19"/>
        <v>1088.9166666666667</v>
      </c>
      <c r="K215" s="359">
        <f t="shared" si="19"/>
        <v>1366.2846666666667</v>
      </c>
      <c r="L215" s="358">
        <f t="shared" si="19"/>
        <v>30.426333333333336</v>
      </c>
      <c r="M215" s="430">
        <f t="shared" si="19"/>
        <v>37.616666666666667</v>
      </c>
      <c r="N215" s="433"/>
      <c r="O215" s="434"/>
    </row>
    <row r="216" spans="1:15" ht="16.5" thickTop="1" x14ac:dyDescent="0.25">
      <c r="A216" s="136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2"/>
    </row>
    <row r="217" spans="1:15" ht="15.75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</row>
    <row r="218" spans="1:15" ht="15.75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</row>
    <row r="219" spans="1:15" ht="15.75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</row>
    <row r="220" spans="1:15" ht="15.75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s="1" customFormat="1" ht="15.75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</row>
    <row r="222" spans="1:15" s="1" customFormat="1" ht="15.75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</row>
    <row r="223" spans="1:15" s="1" customFormat="1" ht="15.75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</row>
    <row r="224" spans="1:15" s="1" customFormat="1" ht="15.75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</row>
    <row r="225" spans="1:16" s="1" customFormat="1" ht="15.75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</row>
    <row r="226" spans="1:16" s="1" customFormat="1" ht="15.7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</row>
    <row r="227" spans="1:16" s="1" customFormat="1" ht="15.75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</row>
    <row r="228" spans="1:16" s="1" customFormat="1" ht="15.75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</row>
    <row r="229" spans="1:16" s="1" customFormat="1" ht="15.75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</row>
    <row r="230" spans="1:16" s="1" customFormat="1" ht="15.75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</row>
    <row r="231" spans="1:16" ht="15.75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"/>
    </row>
    <row r="232" spans="1:16" ht="15.75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"/>
    </row>
    <row r="233" spans="1:16" ht="15.75" x14ac:dyDescent="0.25">
      <c r="A233" s="12" t="s">
        <v>103</v>
      </c>
      <c r="B233" s="14"/>
      <c r="C233" s="12"/>
      <c r="D233" s="14"/>
      <c r="E233" s="12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"/>
    </row>
    <row r="234" spans="1:16" ht="15.75" x14ac:dyDescent="0.25">
      <c r="A234" s="12" t="s">
        <v>104</v>
      </c>
      <c r="B234" s="14"/>
      <c r="C234" s="12"/>
      <c r="D234" s="14"/>
      <c r="E234" s="12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"/>
    </row>
    <row r="235" spans="1:16" ht="15.75" x14ac:dyDescent="0.25">
      <c r="A235" s="12"/>
      <c r="B235" s="12" t="s">
        <v>38</v>
      </c>
      <c r="C235" s="12"/>
      <c r="D235" s="14"/>
      <c r="E235" s="12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"/>
    </row>
    <row r="236" spans="1:16" ht="16.5" thickBot="1" x14ac:dyDescent="0.3">
      <c r="A236" s="12"/>
      <c r="B236" s="12"/>
      <c r="C236" s="12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21"/>
      <c r="P236" s="1"/>
    </row>
    <row r="237" spans="1:16" ht="16.5" thickTop="1" x14ac:dyDescent="0.25">
      <c r="A237" s="263" t="s">
        <v>3</v>
      </c>
      <c r="B237" s="497" t="s">
        <v>4</v>
      </c>
      <c r="C237" s="491"/>
      <c r="D237" s="492" t="s">
        <v>5</v>
      </c>
      <c r="E237" s="492"/>
      <c r="F237" s="493" t="s">
        <v>6</v>
      </c>
      <c r="G237" s="494"/>
      <c r="H237" s="492" t="s">
        <v>62</v>
      </c>
      <c r="I237" s="492"/>
      <c r="J237" s="493" t="s">
        <v>7</v>
      </c>
      <c r="K237" s="494"/>
      <c r="L237" s="492" t="s">
        <v>72</v>
      </c>
      <c r="M237" s="492"/>
      <c r="N237" s="254" t="s">
        <v>8</v>
      </c>
      <c r="O237" s="315" t="s">
        <v>8</v>
      </c>
      <c r="P237" s="1"/>
    </row>
    <row r="238" spans="1:16" s="1" customFormat="1" ht="16.5" thickBot="1" x14ac:dyDescent="0.3">
      <c r="A238" s="292"/>
      <c r="B238" s="498" t="s">
        <v>9</v>
      </c>
      <c r="C238" s="499"/>
      <c r="D238" s="500" t="s">
        <v>9</v>
      </c>
      <c r="E238" s="500"/>
      <c r="F238" s="498" t="s">
        <v>9</v>
      </c>
      <c r="G238" s="499"/>
      <c r="H238" s="500" t="s">
        <v>9</v>
      </c>
      <c r="I238" s="500"/>
      <c r="J238" s="481"/>
      <c r="K238" s="482"/>
      <c r="L238" s="500" t="s">
        <v>10</v>
      </c>
      <c r="M238" s="500"/>
      <c r="N238" s="107" t="s">
        <v>11</v>
      </c>
      <c r="O238" s="452" t="s">
        <v>11</v>
      </c>
    </row>
    <row r="239" spans="1:16" s="1" customFormat="1" ht="16.5" thickBot="1" x14ac:dyDescent="0.3">
      <c r="A239" s="265"/>
      <c r="B239" s="24" t="s">
        <v>12</v>
      </c>
      <c r="C239" s="172" t="s">
        <v>13</v>
      </c>
      <c r="D239" s="444" t="s">
        <v>12</v>
      </c>
      <c r="E239" s="27" t="s">
        <v>13</v>
      </c>
      <c r="F239" s="24" t="s">
        <v>12</v>
      </c>
      <c r="G239" s="172" t="s">
        <v>13</v>
      </c>
      <c r="H239" s="444" t="s">
        <v>12</v>
      </c>
      <c r="I239" s="27" t="s">
        <v>13</v>
      </c>
      <c r="J239" s="24" t="s">
        <v>12</v>
      </c>
      <c r="K239" s="172" t="s">
        <v>13</v>
      </c>
      <c r="L239" s="444" t="s">
        <v>12</v>
      </c>
      <c r="M239" s="27" t="s">
        <v>13</v>
      </c>
      <c r="N239" s="28"/>
      <c r="O239" s="198"/>
    </row>
    <row r="240" spans="1:16" ht="15.75" x14ac:dyDescent="0.25">
      <c r="A240" s="453" t="s">
        <v>14</v>
      </c>
      <c r="B240" s="141"/>
      <c r="C240" s="267"/>
      <c r="D240" s="449"/>
      <c r="E240" s="448"/>
      <c r="F240" s="82"/>
      <c r="G240" s="271"/>
      <c r="H240" s="445"/>
      <c r="I240" s="174"/>
      <c r="J240" s="82"/>
      <c r="K240" s="271"/>
      <c r="L240" s="275"/>
      <c r="M240" s="285"/>
      <c r="N240" s="87"/>
      <c r="O240" s="199"/>
      <c r="P240" s="1"/>
    </row>
    <row r="241" spans="1:16" ht="15.75" x14ac:dyDescent="0.25">
      <c r="A241" s="257" t="s">
        <v>68</v>
      </c>
      <c r="B241" s="60">
        <v>150</v>
      </c>
      <c r="C241" s="44">
        <v>200</v>
      </c>
      <c r="D241" s="94">
        <v>5.15</v>
      </c>
      <c r="E241" s="92">
        <v>6.87</v>
      </c>
      <c r="F241" s="91">
        <v>5.95</v>
      </c>
      <c r="G241" s="89">
        <v>7.94</v>
      </c>
      <c r="H241" s="94">
        <v>21.46</v>
      </c>
      <c r="I241" s="92">
        <v>28.61</v>
      </c>
      <c r="J241" s="91">
        <v>159.68</v>
      </c>
      <c r="K241" s="89">
        <v>212.9</v>
      </c>
      <c r="L241" s="94">
        <v>2.46</v>
      </c>
      <c r="M241" s="92">
        <v>3.28</v>
      </c>
      <c r="N241" s="37">
        <v>185</v>
      </c>
      <c r="O241" s="200"/>
      <c r="P241" s="1"/>
    </row>
    <row r="242" spans="1:16" ht="15.75" x14ac:dyDescent="0.25">
      <c r="A242" s="258" t="s">
        <v>75</v>
      </c>
      <c r="B242" s="60">
        <v>35</v>
      </c>
      <c r="C242" s="44">
        <v>35</v>
      </c>
      <c r="D242" s="94">
        <v>2.42</v>
      </c>
      <c r="E242" s="92">
        <v>2.42</v>
      </c>
      <c r="F242" s="91">
        <v>3.9249999999999998</v>
      </c>
      <c r="G242" s="89">
        <v>3.9249999999999998</v>
      </c>
      <c r="H242" s="94">
        <v>14.57</v>
      </c>
      <c r="I242" s="92">
        <v>14.57</v>
      </c>
      <c r="J242" s="91">
        <v>103.96</v>
      </c>
      <c r="K242" s="89">
        <v>103.96</v>
      </c>
      <c r="L242" s="94"/>
      <c r="M242" s="92"/>
      <c r="N242" s="37">
        <v>1</v>
      </c>
      <c r="O242" s="200"/>
      <c r="P242" s="1"/>
    </row>
    <row r="243" spans="1:16" s="1" customFormat="1" ht="16.5" thickBot="1" x14ac:dyDescent="0.3">
      <c r="A243" s="261" t="s">
        <v>76</v>
      </c>
      <c r="B243" s="188" t="s">
        <v>88</v>
      </c>
      <c r="C243" s="43" t="s">
        <v>71</v>
      </c>
      <c r="D243" s="57">
        <f>0.04/15*16</f>
        <v>4.2666666666666665E-2</v>
      </c>
      <c r="E243" s="281">
        <f>0.07/2*1.8</f>
        <v>6.3000000000000014E-2</v>
      </c>
      <c r="F243" s="282">
        <f>0.01/15*16</f>
        <v>1.0666666666666666E-2</v>
      </c>
      <c r="G243" s="58">
        <f>0.02/2*1.8</f>
        <v>1.8000000000000002E-2</v>
      </c>
      <c r="H243" s="57">
        <f>6.99/15*16</f>
        <v>7.4560000000000004</v>
      </c>
      <c r="I243" s="281">
        <f>11.1/2*1.8</f>
        <v>9.99</v>
      </c>
      <c r="J243" s="282">
        <f>28/15*16</f>
        <v>29.866666666666667</v>
      </c>
      <c r="K243" s="58">
        <f>44.44/2*1.8</f>
        <v>39.996000000000002</v>
      </c>
      <c r="L243" s="57">
        <f>0.02/15*16</f>
        <v>2.1333333333333333E-2</v>
      </c>
      <c r="M243" s="281">
        <f>0.03/2*1.8</f>
        <v>2.7E-2</v>
      </c>
      <c r="N243" s="42" t="s">
        <v>17</v>
      </c>
      <c r="O243" s="251"/>
    </row>
    <row r="244" spans="1:16" s="1" customFormat="1" ht="16.5" thickBot="1" x14ac:dyDescent="0.3">
      <c r="A244" s="265"/>
      <c r="B244" s="277">
        <f>SUM(B241:B243)+167</f>
        <v>352</v>
      </c>
      <c r="C244" s="278">
        <f>SUM(C241:C243)+190</f>
        <v>425</v>
      </c>
      <c r="D244" s="371">
        <f t="shared" ref="D244:M244" si="20">SUM(D241:D243)</f>
        <v>7.6126666666666667</v>
      </c>
      <c r="E244" s="451">
        <f t="shared" si="20"/>
        <v>9.3529999999999998</v>
      </c>
      <c r="F244" s="306">
        <f t="shared" si="20"/>
        <v>9.8856666666666673</v>
      </c>
      <c r="G244" s="307">
        <f t="shared" si="20"/>
        <v>11.883000000000001</v>
      </c>
      <c r="H244" s="371">
        <f t="shared" si="20"/>
        <v>43.486000000000004</v>
      </c>
      <c r="I244" s="451">
        <f t="shared" si="20"/>
        <v>53.17</v>
      </c>
      <c r="J244" s="306">
        <f t="shared" si="20"/>
        <v>293.50666666666666</v>
      </c>
      <c r="K244" s="307">
        <f t="shared" si="20"/>
        <v>356.85599999999999</v>
      </c>
      <c r="L244" s="371">
        <f t="shared" si="20"/>
        <v>2.4813333333333332</v>
      </c>
      <c r="M244" s="451">
        <f t="shared" si="20"/>
        <v>3.3069999999999999</v>
      </c>
      <c r="N244" s="77"/>
      <c r="O244" s="333"/>
    </row>
    <row r="245" spans="1:16" s="1" customFormat="1" ht="16.5" thickBot="1" x14ac:dyDescent="0.3">
      <c r="A245" s="284" t="s">
        <v>18</v>
      </c>
      <c r="B245" s="109"/>
      <c r="C245" s="482"/>
      <c r="D245" s="129"/>
      <c r="E245" s="372"/>
      <c r="F245" s="120"/>
      <c r="G245" s="178"/>
      <c r="H245" s="129"/>
      <c r="I245" s="372"/>
      <c r="J245" s="120"/>
      <c r="K245" s="178"/>
      <c r="L245" s="129"/>
      <c r="M245" s="372"/>
      <c r="N245" s="107"/>
      <c r="O245" s="207"/>
    </row>
    <row r="246" spans="1:16" s="1" customFormat="1" ht="16.5" thickBot="1" x14ac:dyDescent="0.3">
      <c r="A246" s="408" t="s">
        <v>94</v>
      </c>
      <c r="B246" s="309">
        <f>120/1.2</f>
        <v>100</v>
      </c>
      <c r="C246" s="310">
        <v>100</v>
      </c>
      <c r="D246" s="341">
        <f>0.6/1.2</f>
        <v>0.5</v>
      </c>
      <c r="E246" s="338">
        <v>0.5</v>
      </c>
      <c r="F246" s="339"/>
      <c r="G246" s="342"/>
      <c r="H246" s="341">
        <f>12.12/1.2</f>
        <v>10.1</v>
      </c>
      <c r="I246" s="338">
        <v>10.1</v>
      </c>
      <c r="J246" s="339">
        <f>51.2/1.2</f>
        <v>42.666666666666671</v>
      </c>
      <c r="K246" s="342">
        <v>42.67</v>
      </c>
      <c r="L246" s="341">
        <f>2.45/1.2</f>
        <v>2.041666666666667</v>
      </c>
      <c r="M246" s="338">
        <v>2.0409999999999999</v>
      </c>
      <c r="N246" s="288">
        <v>418</v>
      </c>
      <c r="O246" s="198"/>
    </row>
    <row r="247" spans="1:16" ht="15.75" x14ac:dyDescent="0.25">
      <c r="A247" s="255" t="s">
        <v>19</v>
      </c>
      <c r="B247" s="268"/>
      <c r="C247" s="182"/>
      <c r="D247" s="403"/>
      <c r="E247" s="447"/>
      <c r="F247" s="401"/>
      <c r="G247" s="402"/>
      <c r="H247" s="403"/>
      <c r="I247" s="447"/>
      <c r="J247" s="401"/>
      <c r="K247" s="402"/>
      <c r="L247" s="403"/>
      <c r="M247" s="447"/>
      <c r="N247" s="38"/>
      <c r="O247" s="199"/>
      <c r="P247" s="1"/>
    </row>
    <row r="248" spans="1:16" ht="15.75" x14ac:dyDescent="0.25">
      <c r="A248" s="258" t="s">
        <v>131</v>
      </c>
      <c r="B248" s="60">
        <v>30</v>
      </c>
      <c r="C248" s="44">
        <v>50</v>
      </c>
      <c r="D248" s="94">
        <v>0.23</v>
      </c>
      <c r="E248" s="92">
        <v>0.38333333333333336</v>
      </c>
      <c r="F248" s="91">
        <v>1.825</v>
      </c>
      <c r="G248" s="89">
        <v>3.0416666666666665</v>
      </c>
      <c r="H248" s="94">
        <v>0.71</v>
      </c>
      <c r="I248" s="92">
        <v>1.1833333333333333</v>
      </c>
      <c r="J248" s="91">
        <v>20.190000000000001</v>
      </c>
      <c r="K248" s="89">
        <v>33.650000000000006</v>
      </c>
      <c r="L248" s="94">
        <v>2.88</v>
      </c>
      <c r="M248" s="92">
        <v>4.8</v>
      </c>
      <c r="N248" s="107">
        <v>13</v>
      </c>
      <c r="O248" s="200"/>
      <c r="P248" s="1"/>
    </row>
    <row r="249" spans="1:16" s="1" customFormat="1" ht="15.75" x14ac:dyDescent="0.25">
      <c r="A249" s="258" t="s">
        <v>114</v>
      </c>
      <c r="B249" s="62">
        <v>150</v>
      </c>
      <c r="C249" s="186">
        <v>200</v>
      </c>
      <c r="D249" s="94">
        <v>1.93</v>
      </c>
      <c r="E249" s="92">
        <v>2.58</v>
      </c>
      <c r="F249" s="91">
        <v>2.17</v>
      </c>
      <c r="G249" s="89">
        <v>2.78</v>
      </c>
      <c r="H249" s="94">
        <v>8.86</v>
      </c>
      <c r="I249" s="92">
        <v>13.14</v>
      </c>
      <c r="J249" s="91">
        <v>66.75</v>
      </c>
      <c r="K249" s="89">
        <v>89</v>
      </c>
      <c r="L249" s="94">
        <v>4.95</v>
      </c>
      <c r="M249" s="92">
        <v>6.6</v>
      </c>
      <c r="N249" s="37" t="s">
        <v>59</v>
      </c>
      <c r="O249" s="202"/>
    </row>
    <row r="250" spans="1:16" ht="15.75" x14ac:dyDescent="0.25">
      <c r="A250" s="257" t="s">
        <v>65</v>
      </c>
      <c r="B250" s="189">
        <f>60/6*5</f>
        <v>50</v>
      </c>
      <c r="C250" s="67">
        <f>80/8*7</f>
        <v>70</v>
      </c>
      <c r="D250" s="117">
        <f>6.26/6*5</f>
        <v>5.2166666666666659</v>
      </c>
      <c r="E250" s="394">
        <f>8.33/8*7</f>
        <v>7.2887500000000003</v>
      </c>
      <c r="F250" s="242">
        <f>19.3/6*5</f>
        <v>16.083333333333336</v>
      </c>
      <c r="G250" s="118">
        <f>25.63/8*7</f>
        <v>22.42625</v>
      </c>
      <c r="H250" s="117">
        <f>8.97/6*5</f>
        <v>7.4750000000000005</v>
      </c>
      <c r="I250" s="394">
        <f>11.64/8*7</f>
        <v>10.185</v>
      </c>
      <c r="J250" s="242">
        <f>235/6*5</f>
        <v>195.83333333333331</v>
      </c>
      <c r="K250" s="118">
        <f>311/8*7</f>
        <v>272.125</v>
      </c>
      <c r="L250" s="117"/>
      <c r="M250" s="394"/>
      <c r="N250" s="45">
        <v>299</v>
      </c>
      <c r="O250" s="202"/>
      <c r="P250" s="1"/>
    </row>
    <row r="251" spans="1:16" ht="15.75" x14ac:dyDescent="0.25">
      <c r="A251" s="257" t="s">
        <v>85</v>
      </c>
      <c r="B251" s="68">
        <v>100</v>
      </c>
      <c r="C251" s="54">
        <v>130</v>
      </c>
      <c r="D251" s="181">
        <v>3.68</v>
      </c>
      <c r="E251" s="142">
        <v>4.78</v>
      </c>
      <c r="F251" s="50">
        <v>3.01</v>
      </c>
      <c r="G251" s="51">
        <v>3.91</v>
      </c>
      <c r="H251" s="181">
        <v>17.600000000000001</v>
      </c>
      <c r="I251" s="142">
        <v>22.91</v>
      </c>
      <c r="J251" s="395">
        <v>112.3</v>
      </c>
      <c r="K251" s="51">
        <v>145.99</v>
      </c>
      <c r="L251" s="53"/>
      <c r="M251" s="142"/>
      <c r="N251" s="45">
        <v>335</v>
      </c>
      <c r="O251" s="202"/>
      <c r="P251" s="1"/>
    </row>
    <row r="252" spans="1:16" s="1" customFormat="1" ht="15.75" x14ac:dyDescent="0.25">
      <c r="A252" s="257" t="s">
        <v>115</v>
      </c>
      <c r="B252" s="60">
        <v>150</v>
      </c>
      <c r="C252" s="44">
        <v>180</v>
      </c>
      <c r="D252" s="94">
        <v>0.33</v>
      </c>
      <c r="E252" s="92">
        <v>0.4</v>
      </c>
      <c r="F252" s="50">
        <v>0.02</v>
      </c>
      <c r="G252" s="51">
        <v>0.02</v>
      </c>
      <c r="H252" s="94">
        <v>20.83</v>
      </c>
      <c r="I252" s="92">
        <v>24.99</v>
      </c>
      <c r="J252" s="91">
        <v>85</v>
      </c>
      <c r="K252" s="89">
        <v>102</v>
      </c>
      <c r="L252" s="53">
        <v>0.65</v>
      </c>
      <c r="M252" s="142">
        <v>0.86</v>
      </c>
      <c r="N252" s="45">
        <v>394</v>
      </c>
      <c r="O252" s="202"/>
    </row>
    <row r="253" spans="1:16" ht="16.5" thickBot="1" x14ac:dyDescent="0.3">
      <c r="A253" s="262" t="s">
        <v>21</v>
      </c>
      <c r="B253" s="70">
        <v>30</v>
      </c>
      <c r="C253" s="133">
        <v>40</v>
      </c>
      <c r="D253" s="181">
        <v>1.98</v>
      </c>
      <c r="E253" s="373">
        <v>2.64</v>
      </c>
      <c r="F253" s="177">
        <v>0.36</v>
      </c>
      <c r="G253" s="353">
        <v>0.48</v>
      </c>
      <c r="H253" s="181">
        <v>10.02</v>
      </c>
      <c r="I253" s="373">
        <v>13.36</v>
      </c>
      <c r="J253" s="177">
        <v>52.2</v>
      </c>
      <c r="K253" s="353">
        <v>69.599999999999994</v>
      </c>
      <c r="L253" s="181"/>
      <c r="M253" s="373"/>
      <c r="N253" s="76"/>
      <c r="O253" s="251"/>
      <c r="P253" s="1"/>
    </row>
    <row r="254" spans="1:16" s="1" customFormat="1" ht="16.5" thickBot="1" x14ac:dyDescent="0.3">
      <c r="A254" s="408"/>
      <c r="B254" s="277">
        <f t="shared" ref="B254:M254" si="21">SUM(B248:B253)</f>
        <v>510</v>
      </c>
      <c r="C254" s="278">
        <f t="shared" si="21"/>
        <v>670</v>
      </c>
      <c r="D254" s="371">
        <f t="shared" si="21"/>
        <v>13.366666666666667</v>
      </c>
      <c r="E254" s="451">
        <f t="shared" si="21"/>
        <v>18.072083333333332</v>
      </c>
      <c r="F254" s="306">
        <f t="shared" si="21"/>
        <v>23.468333333333337</v>
      </c>
      <c r="G254" s="307">
        <f t="shared" si="21"/>
        <v>32.657916666666665</v>
      </c>
      <c r="H254" s="371">
        <f t="shared" si="21"/>
        <v>65.495000000000005</v>
      </c>
      <c r="I254" s="451">
        <f t="shared" si="21"/>
        <v>85.768333333333331</v>
      </c>
      <c r="J254" s="306">
        <f t="shared" si="21"/>
        <v>532.27333333333331</v>
      </c>
      <c r="K254" s="307">
        <f t="shared" si="21"/>
        <v>712.36500000000001</v>
      </c>
      <c r="L254" s="371">
        <f t="shared" si="21"/>
        <v>8.48</v>
      </c>
      <c r="M254" s="451">
        <f t="shared" si="21"/>
        <v>12.259999999999998</v>
      </c>
      <c r="N254" s="77"/>
      <c r="O254" s="333"/>
    </row>
    <row r="255" spans="1:16" s="1" customFormat="1" ht="15.75" x14ac:dyDescent="0.25">
      <c r="A255" s="255" t="s">
        <v>22</v>
      </c>
      <c r="B255" s="190"/>
      <c r="C255" s="145"/>
      <c r="D255" s="125"/>
      <c r="E255" s="156"/>
      <c r="F255" s="157"/>
      <c r="G255" s="126"/>
      <c r="H255" s="125"/>
      <c r="I255" s="156"/>
      <c r="J255" s="157"/>
      <c r="K255" s="126"/>
      <c r="L255" s="117"/>
      <c r="M255" s="394"/>
      <c r="N255" s="66"/>
      <c r="O255" s="199"/>
    </row>
    <row r="256" spans="1:16" ht="15.75" x14ac:dyDescent="0.25">
      <c r="A256" s="216" t="s">
        <v>82</v>
      </c>
      <c r="B256" s="121">
        <f>65/13*14</f>
        <v>70</v>
      </c>
      <c r="C256" s="145">
        <f>85/17*18</f>
        <v>90</v>
      </c>
      <c r="D256" s="125">
        <f>5.73/13*14</f>
        <v>6.1707692307692312</v>
      </c>
      <c r="E256" s="156">
        <f>7.52/17*18</f>
        <v>7.9623529411764702</v>
      </c>
      <c r="F256" s="157">
        <f>11.04/13*14</f>
        <v>11.889230769230767</v>
      </c>
      <c r="G256" s="126">
        <f>13.46/17*18</f>
        <v>14.251764705882355</v>
      </c>
      <c r="H256" s="125">
        <f>1.1/13*14</f>
        <v>1.1846153846153846</v>
      </c>
      <c r="I256" s="156">
        <f>1.51/17*18</f>
        <v>1.5988235294117648</v>
      </c>
      <c r="J256" s="157">
        <f>127/13*14</f>
        <v>136.76923076923077</v>
      </c>
      <c r="K256" s="126">
        <f>157/17*18</f>
        <v>166.23529411764704</v>
      </c>
      <c r="L256" s="117">
        <f>0.1/13*14</f>
        <v>0.1076923076923077</v>
      </c>
      <c r="M256" s="394">
        <f>0.15/17*18</f>
        <v>0.1588235294117647</v>
      </c>
      <c r="N256" s="45">
        <v>229</v>
      </c>
      <c r="O256" s="200"/>
    </row>
    <row r="257" spans="1:15" ht="15.75" x14ac:dyDescent="0.25">
      <c r="A257" s="216" t="s">
        <v>28</v>
      </c>
      <c r="B257" s="46">
        <f>15/3*4</f>
        <v>20</v>
      </c>
      <c r="C257" s="44">
        <f>30/6*5</f>
        <v>25</v>
      </c>
      <c r="D257" s="94">
        <f>1.19/3*4</f>
        <v>1.5866666666666667</v>
      </c>
      <c r="E257" s="92">
        <f>2.38/6*5</f>
        <v>1.9833333333333334</v>
      </c>
      <c r="F257" s="91">
        <f>0.15/3*4</f>
        <v>0.19999999999999998</v>
      </c>
      <c r="G257" s="89">
        <f>0.3/6*5</f>
        <v>0.24999999999999997</v>
      </c>
      <c r="H257" s="94">
        <f>7.25/3*4</f>
        <v>9.6666666666666661</v>
      </c>
      <c r="I257" s="92">
        <f>14.5/6*5</f>
        <v>12.083333333333332</v>
      </c>
      <c r="J257" s="91">
        <f>35/3*4</f>
        <v>46.666666666666664</v>
      </c>
      <c r="K257" s="89">
        <f>70/6*5</f>
        <v>58.333333333333329</v>
      </c>
      <c r="L257" s="53"/>
      <c r="M257" s="142"/>
      <c r="N257" s="45"/>
      <c r="O257" s="68"/>
    </row>
    <row r="258" spans="1:15" ht="16.5" thickBot="1" x14ac:dyDescent="0.3">
      <c r="A258" s="220" t="s">
        <v>83</v>
      </c>
      <c r="B258" s="69" t="s">
        <v>23</v>
      </c>
      <c r="C258" s="133" t="s">
        <v>24</v>
      </c>
      <c r="D258" s="181">
        <v>7.0000000000000007E-2</v>
      </c>
      <c r="E258" s="373">
        <v>0.13</v>
      </c>
      <c r="F258" s="177">
        <v>0.01</v>
      </c>
      <c r="G258" s="353">
        <v>0.02</v>
      </c>
      <c r="H258" s="181">
        <v>7.1</v>
      </c>
      <c r="I258" s="373">
        <v>11.33</v>
      </c>
      <c r="J258" s="177">
        <v>29</v>
      </c>
      <c r="K258" s="353">
        <v>45.56</v>
      </c>
      <c r="L258" s="181">
        <v>1.42</v>
      </c>
      <c r="M258" s="373">
        <v>3.14</v>
      </c>
      <c r="N258" s="106" t="s">
        <v>25</v>
      </c>
      <c r="O258" s="252"/>
    </row>
    <row r="259" spans="1:15" ht="16.5" thickBot="1" x14ac:dyDescent="0.3">
      <c r="A259" s="408"/>
      <c r="B259" s="313">
        <f>SUM(B256:B258)+160.5</f>
        <v>250.5</v>
      </c>
      <c r="C259" s="310">
        <f>SUM(C256:C258)+217</f>
        <v>332</v>
      </c>
      <c r="D259" s="341">
        <f t="shared" ref="D259:M259" si="22">SUM(D256:D258)</f>
        <v>7.8274358974358984</v>
      </c>
      <c r="E259" s="338">
        <f t="shared" si="22"/>
        <v>10.075686274509804</v>
      </c>
      <c r="F259" s="339">
        <f t="shared" si="22"/>
        <v>12.099230769230767</v>
      </c>
      <c r="G259" s="342">
        <f t="shared" si="22"/>
        <v>14.521764705882354</v>
      </c>
      <c r="H259" s="341">
        <f t="shared" si="22"/>
        <v>17.95128205128205</v>
      </c>
      <c r="I259" s="338">
        <f t="shared" si="22"/>
        <v>25.012156862745098</v>
      </c>
      <c r="J259" s="339">
        <f t="shared" si="22"/>
        <v>212.43589743589743</v>
      </c>
      <c r="K259" s="342">
        <f t="shared" si="22"/>
        <v>270.12862745098039</v>
      </c>
      <c r="L259" s="341">
        <f t="shared" si="22"/>
        <v>1.5276923076923077</v>
      </c>
      <c r="M259" s="338">
        <f t="shared" si="22"/>
        <v>3.2988235294117647</v>
      </c>
      <c r="N259" s="28"/>
      <c r="O259" s="333"/>
    </row>
    <row r="260" spans="1:15" ht="16.5" thickBot="1" x14ac:dyDescent="0.3">
      <c r="A260" s="262"/>
      <c r="B260" s="109"/>
      <c r="C260" s="482"/>
      <c r="D260" s="129"/>
      <c r="E260" s="372"/>
      <c r="F260" s="120"/>
      <c r="G260" s="178"/>
      <c r="H260" s="129"/>
      <c r="I260" s="372"/>
      <c r="J260" s="120"/>
      <c r="K260" s="178"/>
      <c r="L260" s="129"/>
      <c r="M260" s="372"/>
      <c r="N260" s="107"/>
      <c r="O260" s="252"/>
    </row>
    <row r="261" spans="1:15" ht="17.25" thickTop="1" thickBot="1" x14ac:dyDescent="0.3">
      <c r="A261" s="432" t="s">
        <v>39</v>
      </c>
      <c r="B261" s="195">
        <f t="shared" ref="B261:N261" si="23">B244+B246+B254+B259</f>
        <v>1212.5</v>
      </c>
      <c r="C261" s="197">
        <f t="shared" si="23"/>
        <v>1527</v>
      </c>
      <c r="D261" s="358">
        <f t="shared" si="23"/>
        <v>29.30676923076923</v>
      </c>
      <c r="E261" s="454">
        <f t="shared" si="23"/>
        <v>38.000769607843139</v>
      </c>
      <c r="F261" s="196">
        <f t="shared" si="23"/>
        <v>45.453230769230771</v>
      </c>
      <c r="G261" s="455">
        <f t="shared" si="23"/>
        <v>59.062681372549022</v>
      </c>
      <c r="H261" s="454">
        <f t="shared" si="23"/>
        <v>137.03228205128207</v>
      </c>
      <c r="I261" s="456">
        <f t="shared" si="23"/>
        <v>174.05049019607841</v>
      </c>
      <c r="J261" s="196">
        <f t="shared" si="23"/>
        <v>1080.8825641025642</v>
      </c>
      <c r="K261" s="455">
        <f t="shared" si="23"/>
        <v>1382.0196274509804</v>
      </c>
      <c r="L261" s="358">
        <f t="shared" si="23"/>
        <v>14.530692307692307</v>
      </c>
      <c r="M261" s="454">
        <f t="shared" si="23"/>
        <v>20.90682352941176</v>
      </c>
      <c r="N261" s="194">
        <f t="shared" si="23"/>
        <v>418</v>
      </c>
      <c r="O261" s="431"/>
    </row>
    <row r="262" spans="1:15" ht="16.5" thickTop="1" x14ac:dyDescent="0.25">
      <c r="A262" s="136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21"/>
    </row>
    <row r="263" spans="1:15" ht="15.75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</row>
    <row r="264" spans="1:15" s="1" customFormat="1" ht="15.75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</row>
    <row r="265" spans="1:15" s="1" customFormat="1" ht="15.75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</row>
    <row r="266" spans="1:15" s="1" customFormat="1" ht="15.75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</row>
    <row r="267" spans="1:15" ht="15.75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</row>
    <row r="268" spans="1:15" ht="15.75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</row>
    <row r="269" spans="1:15" ht="15.75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</row>
    <row r="270" spans="1:15" ht="15.75" hidden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</row>
    <row r="271" spans="1:15" ht="15.75" hidden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</row>
    <row r="272" spans="1:15" ht="15.75" hidden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</row>
    <row r="273" spans="1:16" ht="15.75" hidden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6" ht="15.75" hidden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</row>
    <row r="275" spans="1:16" ht="15.75" hidden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</row>
    <row r="276" spans="1:16" ht="15.75" hidden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</row>
    <row r="277" spans="1:16" s="1" customFormat="1" ht="15.75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</row>
    <row r="278" spans="1:16" s="1" customFormat="1" ht="15.75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</row>
    <row r="279" spans="1:16" ht="15.75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"/>
    </row>
    <row r="280" spans="1:16" ht="15.75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"/>
    </row>
    <row r="281" spans="1:16" s="1" customFormat="1" ht="15.75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</row>
    <row r="282" spans="1:16" s="1" customFormat="1" ht="15.75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</row>
    <row r="283" spans="1:16" s="1" customFormat="1" ht="15.75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</row>
    <row r="284" spans="1:16" s="1" customFormat="1" ht="15.75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</row>
    <row r="285" spans="1:16" s="1" customFormat="1" ht="15.75" x14ac:dyDescent="0.25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7"/>
      <c r="M285" s="137"/>
      <c r="N285" s="137"/>
      <c r="O285" s="14"/>
    </row>
    <row r="286" spans="1:16" ht="15.75" x14ac:dyDescent="0.25">
      <c r="A286" s="12" t="s">
        <v>103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"/>
    </row>
    <row r="287" spans="1:16" ht="15.75" x14ac:dyDescent="0.25">
      <c r="A287" s="12" t="s">
        <v>91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"/>
    </row>
    <row r="288" spans="1:16" ht="15.75" x14ac:dyDescent="0.25">
      <c r="A288" s="14"/>
      <c r="B288" s="12" t="s">
        <v>40</v>
      </c>
      <c r="C288" s="12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"/>
    </row>
    <row r="289" spans="1:16" ht="16.5" thickBot="1" x14ac:dyDescent="0.3">
      <c r="A289" s="14"/>
      <c r="B289" s="12"/>
      <c r="C289" s="12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21"/>
      <c r="P289" s="1"/>
    </row>
    <row r="290" spans="1:16" s="1" customFormat="1" ht="16.5" thickTop="1" x14ac:dyDescent="0.25">
      <c r="A290" s="263" t="s">
        <v>3</v>
      </c>
      <c r="B290" s="497" t="s">
        <v>4</v>
      </c>
      <c r="C290" s="491"/>
      <c r="D290" s="492" t="s">
        <v>5</v>
      </c>
      <c r="E290" s="492"/>
      <c r="F290" s="493" t="s">
        <v>6</v>
      </c>
      <c r="G290" s="494"/>
      <c r="H290" s="492" t="s">
        <v>62</v>
      </c>
      <c r="I290" s="492"/>
      <c r="J290" s="493" t="s">
        <v>7</v>
      </c>
      <c r="K290" s="505"/>
      <c r="L290" s="492" t="s">
        <v>72</v>
      </c>
      <c r="M290" s="506"/>
      <c r="N290" s="254" t="s">
        <v>8</v>
      </c>
      <c r="O290" s="315" t="s">
        <v>8</v>
      </c>
    </row>
    <row r="291" spans="1:16" ht="16.5" thickBot="1" x14ac:dyDescent="0.3">
      <c r="A291" s="292"/>
      <c r="B291" s="498" t="s">
        <v>9</v>
      </c>
      <c r="C291" s="499"/>
      <c r="D291" s="500" t="s">
        <v>9</v>
      </c>
      <c r="E291" s="500"/>
      <c r="F291" s="498" t="s">
        <v>9</v>
      </c>
      <c r="G291" s="499"/>
      <c r="H291" s="500" t="s">
        <v>9</v>
      </c>
      <c r="I291" s="500"/>
      <c r="J291" s="481"/>
      <c r="K291" s="20"/>
      <c r="L291" s="500" t="s">
        <v>10</v>
      </c>
      <c r="M291" s="507"/>
      <c r="N291" s="93" t="s">
        <v>11</v>
      </c>
      <c r="O291" s="442" t="s">
        <v>11</v>
      </c>
      <c r="P291" s="1"/>
    </row>
    <row r="292" spans="1:16" ht="16.5" thickBot="1" x14ac:dyDescent="0.3">
      <c r="A292" s="265"/>
      <c r="B292" s="24" t="s">
        <v>12</v>
      </c>
      <c r="C292" s="25" t="s">
        <v>13</v>
      </c>
      <c r="D292" s="26" t="s">
        <v>12</v>
      </c>
      <c r="E292" s="27" t="s">
        <v>13</v>
      </c>
      <c r="F292" s="24" t="s">
        <v>12</v>
      </c>
      <c r="G292" s="25" t="s">
        <v>13</v>
      </c>
      <c r="H292" s="26" t="s">
        <v>12</v>
      </c>
      <c r="I292" s="27" t="s">
        <v>13</v>
      </c>
      <c r="J292" s="443" t="s">
        <v>12</v>
      </c>
      <c r="K292" s="25" t="s">
        <v>13</v>
      </c>
      <c r="L292" s="26" t="s">
        <v>12</v>
      </c>
      <c r="M292" s="444" t="s">
        <v>13</v>
      </c>
      <c r="N292" s="28"/>
      <c r="O292" s="198"/>
      <c r="P292" s="1"/>
    </row>
    <row r="293" spans="1:16" s="1" customFormat="1" ht="15.75" x14ac:dyDescent="0.25">
      <c r="A293" s="453" t="s">
        <v>14</v>
      </c>
      <c r="B293" s="141"/>
      <c r="C293" s="81"/>
      <c r="D293" s="80"/>
      <c r="E293" s="173"/>
      <c r="F293" s="82"/>
      <c r="G293" s="34"/>
      <c r="H293" s="83"/>
      <c r="I293" s="84"/>
      <c r="J293" s="417"/>
      <c r="K293" s="34"/>
      <c r="L293" s="121"/>
      <c r="M293" s="86"/>
      <c r="N293" s="38"/>
      <c r="O293" s="199"/>
    </row>
    <row r="294" spans="1:16" ht="15.75" x14ac:dyDescent="0.25">
      <c r="A294" s="258" t="s">
        <v>70</v>
      </c>
      <c r="B294" s="60">
        <v>150</v>
      </c>
      <c r="C294" s="47">
        <v>200</v>
      </c>
      <c r="D294" s="88">
        <v>3.6139999999999999</v>
      </c>
      <c r="E294" s="92">
        <v>4.82</v>
      </c>
      <c r="F294" s="91">
        <v>3.81</v>
      </c>
      <c r="G294" s="90">
        <v>5.0780000000000003</v>
      </c>
      <c r="H294" s="88">
        <v>12.62</v>
      </c>
      <c r="I294" s="92">
        <v>16.829999999999998</v>
      </c>
      <c r="J294" s="96">
        <v>99.3</v>
      </c>
      <c r="K294" s="90">
        <v>132.4</v>
      </c>
      <c r="L294" s="88">
        <v>0.68</v>
      </c>
      <c r="M294" s="94">
        <v>0.91</v>
      </c>
      <c r="N294" s="37">
        <v>101</v>
      </c>
      <c r="O294" s="200"/>
      <c r="P294" s="1"/>
    </row>
    <row r="295" spans="1:16" ht="15.75" x14ac:dyDescent="0.25">
      <c r="A295" s="258" t="s">
        <v>75</v>
      </c>
      <c r="B295" s="60">
        <v>35</v>
      </c>
      <c r="C295" s="47">
        <v>35</v>
      </c>
      <c r="D295" s="88">
        <v>2.42</v>
      </c>
      <c r="E295" s="94">
        <v>2.42</v>
      </c>
      <c r="F295" s="91">
        <v>3.9249999999999998</v>
      </c>
      <c r="G295" s="90">
        <v>3.9249999999999998</v>
      </c>
      <c r="H295" s="88">
        <v>14.57</v>
      </c>
      <c r="I295" s="94">
        <v>14.57</v>
      </c>
      <c r="J295" s="96">
        <v>103.96</v>
      </c>
      <c r="K295" s="90">
        <v>103.96</v>
      </c>
      <c r="L295" s="88"/>
      <c r="M295" s="94"/>
      <c r="N295" s="37">
        <v>1</v>
      </c>
      <c r="O295" s="200"/>
      <c r="P295" s="1"/>
    </row>
    <row r="296" spans="1:16" ht="16.5" thickBot="1" x14ac:dyDescent="0.3">
      <c r="A296" s="458" t="s">
        <v>116</v>
      </c>
      <c r="B296" s="246">
        <v>170</v>
      </c>
      <c r="C296" s="291">
        <v>200</v>
      </c>
      <c r="D296" s="101">
        <f>2.34/15*17</f>
        <v>2.6520000000000001</v>
      </c>
      <c r="E296" s="324">
        <v>2.56</v>
      </c>
      <c r="F296" s="325">
        <f>2/15*17</f>
        <v>2.2666666666666666</v>
      </c>
      <c r="G296" s="102">
        <v>2.67</v>
      </c>
      <c r="H296" s="101">
        <f>10.53/15*17</f>
        <v>11.933999999999999</v>
      </c>
      <c r="I296" s="324">
        <v>15.95</v>
      </c>
      <c r="J296" s="421">
        <f>70/15*17</f>
        <v>79.333333333333343</v>
      </c>
      <c r="K296" s="102">
        <v>102.11</v>
      </c>
      <c r="L296" s="101">
        <f>0.98/15*17</f>
        <v>1.1106666666666665</v>
      </c>
      <c r="M296" s="324">
        <v>1.3</v>
      </c>
      <c r="N296" s="76">
        <v>414</v>
      </c>
      <c r="O296" s="251"/>
      <c r="P296" s="1"/>
    </row>
    <row r="297" spans="1:16" ht="16.5" thickBot="1" x14ac:dyDescent="0.3">
      <c r="A297" s="265"/>
      <c r="B297" s="313">
        <f>SUM(B294:B296)</f>
        <v>355</v>
      </c>
      <c r="C297" s="336">
        <f t="shared" ref="C297:M297" si="24">SUM(C294:C296)</f>
        <v>435</v>
      </c>
      <c r="D297" s="337">
        <f t="shared" si="24"/>
        <v>8.6859999999999999</v>
      </c>
      <c r="E297" s="341">
        <f t="shared" si="24"/>
        <v>9.8000000000000007</v>
      </c>
      <c r="F297" s="339">
        <f t="shared" si="24"/>
        <v>10.001666666666665</v>
      </c>
      <c r="G297" s="340">
        <f t="shared" si="24"/>
        <v>11.673</v>
      </c>
      <c r="H297" s="337">
        <f t="shared" si="24"/>
        <v>39.123999999999995</v>
      </c>
      <c r="I297" s="341">
        <f t="shared" si="24"/>
        <v>47.349999999999994</v>
      </c>
      <c r="J297" s="425">
        <f t="shared" si="24"/>
        <v>282.59333333333336</v>
      </c>
      <c r="K297" s="340">
        <f t="shared" si="24"/>
        <v>338.47</v>
      </c>
      <c r="L297" s="337">
        <f t="shared" si="24"/>
        <v>1.7906666666666666</v>
      </c>
      <c r="M297" s="341">
        <f t="shared" si="24"/>
        <v>2.21</v>
      </c>
      <c r="N297" s="77"/>
      <c r="O297" s="333"/>
      <c r="P297" s="1"/>
    </row>
    <row r="298" spans="1:16" ht="16.5" thickBot="1" x14ac:dyDescent="0.3">
      <c r="A298" s="284" t="s">
        <v>18</v>
      </c>
      <c r="B298" s="109"/>
      <c r="C298" s="127"/>
      <c r="D298" s="119"/>
      <c r="E298" s="372"/>
      <c r="F298" s="120"/>
      <c r="G298" s="128"/>
      <c r="H298" s="119"/>
      <c r="I298" s="372"/>
      <c r="J298" s="410"/>
      <c r="K298" s="128"/>
      <c r="L298" s="119"/>
      <c r="M298" s="129"/>
      <c r="N298" s="107"/>
      <c r="O298" s="207"/>
      <c r="P298" s="1"/>
    </row>
    <row r="299" spans="1:16" ht="16.5" thickBot="1" x14ac:dyDescent="0.3">
      <c r="A299" s="408" t="s">
        <v>77</v>
      </c>
      <c r="B299" s="313">
        <v>75</v>
      </c>
      <c r="C299" s="336">
        <v>100</v>
      </c>
      <c r="D299" s="337">
        <f>2.25/2</f>
        <v>1.125</v>
      </c>
      <c r="E299" s="338">
        <f>2.7/2/9*10</f>
        <v>1.5000000000000002</v>
      </c>
      <c r="F299" s="339">
        <f>0.75/2</f>
        <v>0.375</v>
      </c>
      <c r="G299" s="340">
        <f>0.9/2/9*10</f>
        <v>0.5</v>
      </c>
      <c r="H299" s="337">
        <f>31.5/2</f>
        <v>15.75</v>
      </c>
      <c r="I299" s="338">
        <f>37.8/2/9*10</f>
        <v>20.999999999999996</v>
      </c>
      <c r="J299" s="425">
        <f>142.5/2</f>
        <v>71.25</v>
      </c>
      <c r="K299" s="340">
        <f>171/2/9*10</f>
        <v>95</v>
      </c>
      <c r="L299" s="337">
        <v>7.5</v>
      </c>
      <c r="M299" s="341">
        <f>9/9*10</f>
        <v>10</v>
      </c>
      <c r="N299" s="28">
        <v>386</v>
      </c>
      <c r="O299" s="333"/>
      <c r="P299" s="1"/>
    </row>
    <row r="300" spans="1:16" s="1" customFormat="1" ht="15.75" x14ac:dyDescent="0.25">
      <c r="A300" s="259" t="s">
        <v>19</v>
      </c>
      <c r="B300" s="60"/>
      <c r="C300" s="47"/>
      <c r="D300" s="88"/>
      <c r="E300" s="92"/>
      <c r="F300" s="91"/>
      <c r="G300" s="90"/>
      <c r="H300" s="88"/>
      <c r="I300" s="92"/>
      <c r="J300" s="96"/>
      <c r="K300" s="90"/>
      <c r="L300" s="88"/>
      <c r="M300" s="94"/>
      <c r="N300" s="37"/>
      <c r="O300" s="202"/>
    </row>
    <row r="301" spans="1:16" ht="15.75" x14ac:dyDescent="0.25">
      <c r="A301" s="409" t="s">
        <v>89</v>
      </c>
      <c r="B301" s="188">
        <v>30</v>
      </c>
      <c r="C301" s="40">
        <v>50</v>
      </c>
      <c r="D301" s="55">
        <f>3.1/2</f>
        <v>1.55</v>
      </c>
      <c r="E301" s="281">
        <f>1.55*2/6*5</f>
        <v>2.5833333333333335</v>
      </c>
      <c r="F301" s="282">
        <v>2.7</v>
      </c>
      <c r="G301" s="56">
        <f>5.4/6*5</f>
        <v>4.5</v>
      </c>
      <c r="H301" s="55">
        <f>4.3/2</f>
        <v>2.15</v>
      </c>
      <c r="I301" s="57">
        <f>4.3/6*5</f>
        <v>3.5833333333333335</v>
      </c>
      <c r="J301" s="418">
        <v>39.200000000000003</v>
      </c>
      <c r="K301" s="56">
        <f>39.2*2/6*5</f>
        <v>65.333333333333343</v>
      </c>
      <c r="L301" s="55">
        <v>2.4500000000000002</v>
      </c>
      <c r="M301" s="57">
        <f>5/6*5</f>
        <v>4.166666666666667</v>
      </c>
      <c r="N301" s="107">
        <v>32</v>
      </c>
      <c r="O301" s="200"/>
      <c r="P301" s="1"/>
    </row>
    <row r="302" spans="1:16" ht="15.75" x14ac:dyDescent="0.25">
      <c r="A302" s="258" t="s">
        <v>127</v>
      </c>
      <c r="B302" s="60">
        <v>150</v>
      </c>
      <c r="C302" s="47">
        <v>200</v>
      </c>
      <c r="D302" s="88">
        <v>3.63</v>
      </c>
      <c r="E302" s="92">
        <v>4.82</v>
      </c>
      <c r="F302" s="91">
        <v>3.48</v>
      </c>
      <c r="G302" s="90">
        <v>4.63</v>
      </c>
      <c r="H302" s="88">
        <v>9.7100000000000009</v>
      </c>
      <c r="I302" s="92">
        <v>12.94</v>
      </c>
      <c r="J302" s="96">
        <v>83.95</v>
      </c>
      <c r="K302" s="90">
        <v>111.6</v>
      </c>
      <c r="L302" s="88">
        <v>3.49</v>
      </c>
      <c r="M302" s="94">
        <v>4.6500000000000004</v>
      </c>
      <c r="N302" s="37" t="s">
        <v>48</v>
      </c>
      <c r="O302" s="202"/>
      <c r="P302" s="1"/>
    </row>
    <row r="303" spans="1:16" ht="15.75" x14ac:dyDescent="0.25">
      <c r="A303" s="258" t="s">
        <v>66</v>
      </c>
      <c r="B303" s="62">
        <v>80</v>
      </c>
      <c r="C303" s="63">
        <v>90</v>
      </c>
      <c r="D303" s="88">
        <v>11.29</v>
      </c>
      <c r="E303" s="92">
        <v>12.7</v>
      </c>
      <c r="F303" s="91">
        <v>13.16</v>
      </c>
      <c r="G303" s="90">
        <v>14.8</v>
      </c>
      <c r="H303" s="88">
        <v>2.04</v>
      </c>
      <c r="I303" s="92">
        <v>2.2999999999999998</v>
      </c>
      <c r="J303" s="96">
        <v>172.27</v>
      </c>
      <c r="K303" s="90">
        <v>193.8</v>
      </c>
      <c r="L303" s="88"/>
      <c r="M303" s="94"/>
      <c r="N303" s="37"/>
      <c r="O303" s="202">
        <v>128</v>
      </c>
      <c r="P303" s="1"/>
    </row>
    <row r="304" spans="1:16" ht="15.75" x14ac:dyDescent="0.25">
      <c r="A304" s="257" t="s">
        <v>79</v>
      </c>
      <c r="B304" s="60">
        <f>120/12*10</f>
        <v>100</v>
      </c>
      <c r="C304" s="47">
        <f>150/15*12</f>
        <v>120</v>
      </c>
      <c r="D304" s="119">
        <f>2.45/12*10</f>
        <v>2.041666666666667</v>
      </c>
      <c r="E304" s="94">
        <f>3.06/15*12</f>
        <v>2.4480000000000004</v>
      </c>
      <c r="F304" s="91">
        <f>3.84/12*10</f>
        <v>3.2</v>
      </c>
      <c r="G304" s="90">
        <f>4.8/15*12</f>
        <v>3.84</v>
      </c>
      <c r="H304" s="119">
        <f>16.35/12*10</f>
        <v>13.625</v>
      </c>
      <c r="I304" s="94">
        <f>20.44/15*12</f>
        <v>16.352</v>
      </c>
      <c r="J304" s="96">
        <f>110/12*10</f>
        <v>91.666666666666657</v>
      </c>
      <c r="K304" s="90">
        <f>137/15*12</f>
        <v>109.6</v>
      </c>
      <c r="L304" s="52">
        <f>14.53/12*10</f>
        <v>12.108333333333333</v>
      </c>
      <c r="M304" s="53">
        <f>18.16/15*12</f>
        <v>14.528000000000002</v>
      </c>
      <c r="N304" s="45">
        <v>339</v>
      </c>
      <c r="O304" s="202"/>
    </row>
    <row r="305" spans="1:16" ht="15.75" x14ac:dyDescent="0.25">
      <c r="A305" s="257" t="s">
        <v>81</v>
      </c>
      <c r="B305" s="68">
        <v>150</v>
      </c>
      <c r="C305" s="72">
        <v>200</v>
      </c>
      <c r="D305" s="52">
        <v>0.14399999999999999</v>
      </c>
      <c r="E305" s="53">
        <v>0.44</v>
      </c>
      <c r="F305" s="50">
        <v>0.14399999999999999</v>
      </c>
      <c r="G305" s="95">
        <v>0.192</v>
      </c>
      <c r="H305" s="52">
        <v>17.91</v>
      </c>
      <c r="I305" s="142">
        <v>23.88</v>
      </c>
      <c r="J305" s="180">
        <v>73.2</v>
      </c>
      <c r="K305" s="95">
        <v>97.6</v>
      </c>
      <c r="L305" s="52">
        <v>1.64</v>
      </c>
      <c r="M305" s="53">
        <v>2.2799999999999998</v>
      </c>
      <c r="N305" s="45">
        <v>390</v>
      </c>
      <c r="O305" s="200"/>
    </row>
    <row r="306" spans="1:16" ht="16.5" thickBot="1" x14ac:dyDescent="0.3">
      <c r="A306" s="261" t="s">
        <v>21</v>
      </c>
      <c r="B306" s="70">
        <v>30</v>
      </c>
      <c r="C306" s="131">
        <v>40</v>
      </c>
      <c r="D306" s="176">
        <v>1.98</v>
      </c>
      <c r="E306" s="373">
        <v>2.64</v>
      </c>
      <c r="F306" s="177">
        <v>0.36</v>
      </c>
      <c r="G306" s="179">
        <v>0.48</v>
      </c>
      <c r="H306" s="176">
        <v>10.02</v>
      </c>
      <c r="I306" s="181">
        <v>13.36</v>
      </c>
      <c r="J306" s="429">
        <v>52.2</v>
      </c>
      <c r="K306" s="179">
        <v>69.599999999999994</v>
      </c>
      <c r="L306" s="176"/>
      <c r="M306" s="181"/>
      <c r="N306" s="76"/>
      <c r="O306" s="251"/>
    </row>
    <row r="307" spans="1:16" ht="16.5" thickBot="1" x14ac:dyDescent="0.3">
      <c r="A307" s="408"/>
      <c r="B307" s="277">
        <f t="shared" ref="B307:M307" si="25">SUM(B301:B306)</f>
        <v>540</v>
      </c>
      <c r="C307" s="303">
        <f t="shared" si="25"/>
        <v>700</v>
      </c>
      <c r="D307" s="304">
        <f t="shared" si="25"/>
        <v>20.635666666666665</v>
      </c>
      <c r="E307" s="371">
        <f t="shared" si="25"/>
        <v>25.631333333333334</v>
      </c>
      <c r="F307" s="306">
        <f t="shared" si="25"/>
        <v>23.043999999999997</v>
      </c>
      <c r="G307" s="305">
        <f t="shared" si="25"/>
        <v>28.442</v>
      </c>
      <c r="H307" s="304">
        <f t="shared" si="25"/>
        <v>55.454999999999998</v>
      </c>
      <c r="I307" s="371">
        <f t="shared" si="25"/>
        <v>72.415333333333336</v>
      </c>
      <c r="J307" s="370">
        <f t="shared" si="25"/>
        <v>512.48666666666668</v>
      </c>
      <c r="K307" s="305">
        <f t="shared" si="25"/>
        <v>647.53333333333342</v>
      </c>
      <c r="L307" s="304">
        <f t="shared" si="25"/>
        <v>19.688333333333333</v>
      </c>
      <c r="M307" s="371">
        <f t="shared" si="25"/>
        <v>25.62466666666667</v>
      </c>
      <c r="N307" s="77"/>
      <c r="O307" s="333"/>
    </row>
    <row r="308" spans="1:16" ht="15.75" x14ac:dyDescent="0.25">
      <c r="A308" s="255" t="s">
        <v>22</v>
      </c>
      <c r="B308" s="190"/>
      <c r="C308" s="122"/>
      <c r="D308" s="123"/>
      <c r="E308" s="156"/>
      <c r="F308" s="157"/>
      <c r="G308" s="124"/>
      <c r="H308" s="123"/>
      <c r="I308" s="156"/>
      <c r="J308" s="158"/>
      <c r="K308" s="124"/>
      <c r="L308" s="115"/>
      <c r="M308" s="117"/>
      <c r="N308" s="66"/>
      <c r="O308" s="203"/>
    </row>
    <row r="309" spans="1:16" ht="15.75" x14ac:dyDescent="0.25">
      <c r="A309" s="258" t="s">
        <v>117</v>
      </c>
      <c r="B309" s="62">
        <v>55</v>
      </c>
      <c r="C309" s="63">
        <v>70</v>
      </c>
      <c r="D309" s="392">
        <f>8.53/2/10*11</f>
        <v>4.6914999999999996</v>
      </c>
      <c r="E309" s="92">
        <f>4.265/5*6/6*7</f>
        <v>5.971000000000001</v>
      </c>
      <c r="F309" s="91">
        <f>9.87/2/10*11</f>
        <v>5.4284999999999997</v>
      </c>
      <c r="G309" s="90">
        <f>4.935/5*6/6*7</f>
        <v>6.908999999999998</v>
      </c>
      <c r="H309" s="88">
        <f>54.53/2/10*11</f>
        <v>29.991500000000002</v>
      </c>
      <c r="I309" s="92">
        <f>27.265/5*6/6*7</f>
        <v>38.170999999999999</v>
      </c>
      <c r="J309" s="96">
        <f>335.33/2/10*11</f>
        <v>184.4315</v>
      </c>
      <c r="K309" s="90">
        <f>167.665/5*6/6*7</f>
        <v>234.73099999999999</v>
      </c>
      <c r="L309" s="52"/>
      <c r="M309" s="53"/>
      <c r="N309" s="45">
        <v>233</v>
      </c>
      <c r="O309" s="247"/>
    </row>
    <row r="310" spans="1:16" ht="16.5" thickBot="1" x14ac:dyDescent="0.3">
      <c r="A310" s="261" t="s">
        <v>76</v>
      </c>
      <c r="B310" s="188" t="s">
        <v>15</v>
      </c>
      <c r="C310" s="40" t="s">
        <v>16</v>
      </c>
      <c r="D310" s="55">
        <v>0.04</v>
      </c>
      <c r="E310" s="281">
        <v>7.0000000000000007E-2</v>
      </c>
      <c r="F310" s="282">
        <v>0.01</v>
      </c>
      <c r="G310" s="56">
        <v>0.02</v>
      </c>
      <c r="H310" s="55">
        <v>6.99</v>
      </c>
      <c r="I310" s="281">
        <v>11.1</v>
      </c>
      <c r="J310" s="418">
        <v>28</v>
      </c>
      <c r="K310" s="56">
        <v>44.44</v>
      </c>
      <c r="L310" s="55">
        <v>0.02</v>
      </c>
      <c r="M310" s="57">
        <v>0.03</v>
      </c>
      <c r="N310" s="42" t="s">
        <v>17</v>
      </c>
      <c r="O310" s="251"/>
    </row>
    <row r="311" spans="1:16" s="1" customFormat="1" ht="16.5" thickBot="1" x14ac:dyDescent="0.3">
      <c r="A311" s="408"/>
      <c r="B311" s="277">
        <f>SUM(B309:B310)+157</f>
        <v>212</v>
      </c>
      <c r="C311" s="303">
        <f>SUM(C309:C310)+210</f>
        <v>280</v>
      </c>
      <c r="D311" s="304">
        <f t="shared" ref="D311:M311" si="26">SUM(D309:D310)</f>
        <v>4.7314999999999996</v>
      </c>
      <c r="E311" s="371">
        <f t="shared" si="26"/>
        <v>6.0410000000000013</v>
      </c>
      <c r="F311" s="306">
        <f t="shared" si="26"/>
        <v>5.4384999999999994</v>
      </c>
      <c r="G311" s="305">
        <f t="shared" si="26"/>
        <v>6.9289999999999976</v>
      </c>
      <c r="H311" s="304">
        <f t="shared" si="26"/>
        <v>36.981500000000004</v>
      </c>
      <c r="I311" s="371">
        <f t="shared" si="26"/>
        <v>49.271000000000001</v>
      </c>
      <c r="J311" s="370">
        <f t="shared" si="26"/>
        <v>212.4315</v>
      </c>
      <c r="K311" s="305">
        <f t="shared" si="26"/>
        <v>279.17099999999999</v>
      </c>
      <c r="L311" s="304">
        <f t="shared" si="26"/>
        <v>0.02</v>
      </c>
      <c r="M311" s="371">
        <f t="shared" si="26"/>
        <v>0.03</v>
      </c>
      <c r="N311" s="77"/>
      <c r="O311" s="198"/>
    </row>
    <row r="312" spans="1:16" s="1" customFormat="1" ht="16.5" thickBot="1" x14ac:dyDescent="0.3">
      <c r="A312" s="262"/>
      <c r="B312" s="70"/>
      <c r="C312" s="131"/>
      <c r="D312" s="176"/>
      <c r="E312" s="181"/>
      <c r="F312" s="177"/>
      <c r="G312" s="179"/>
      <c r="H312" s="176"/>
      <c r="I312" s="373"/>
      <c r="J312" s="429"/>
      <c r="K312" s="179"/>
      <c r="L312" s="176"/>
      <c r="M312" s="181"/>
      <c r="N312" s="106"/>
      <c r="O312" s="207"/>
    </row>
    <row r="313" spans="1:16" s="1" customFormat="1" ht="17.25" thickTop="1" thickBot="1" x14ac:dyDescent="0.3">
      <c r="A313" s="432" t="s">
        <v>41</v>
      </c>
      <c r="B313" s="195">
        <f t="shared" ref="B313:M313" si="27">B297+B299+B307+B311</f>
        <v>1182</v>
      </c>
      <c r="C313" s="197">
        <f t="shared" si="27"/>
        <v>1515</v>
      </c>
      <c r="D313" s="358">
        <f t="shared" si="27"/>
        <v>35.178166666666662</v>
      </c>
      <c r="E313" s="454">
        <f t="shared" si="27"/>
        <v>42.972333333333339</v>
      </c>
      <c r="F313" s="196">
        <f t="shared" si="27"/>
        <v>38.85916666666666</v>
      </c>
      <c r="G313" s="455">
        <f t="shared" si="27"/>
        <v>47.543999999999997</v>
      </c>
      <c r="H313" s="358">
        <f t="shared" si="27"/>
        <v>147.31049999999999</v>
      </c>
      <c r="I313" s="454">
        <f t="shared" si="27"/>
        <v>190.03633333333335</v>
      </c>
      <c r="J313" s="196">
        <f t="shared" si="27"/>
        <v>1078.7615000000001</v>
      </c>
      <c r="K313" s="455">
        <f t="shared" si="27"/>
        <v>1360.1743333333336</v>
      </c>
      <c r="L313" s="358">
        <f t="shared" si="27"/>
        <v>28.998999999999999</v>
      </c>
      <c r="M313" s="454">
        <f t="shared" si="27"/>
        <v>37.864666666666672</v>
      </c>
      <c r="N313" s="194"/>
      <c r="O313" s="457"/>
    </row>
    <row r="314" spans="1:16" s="1" customFormat="1" ht="16.5" thickTop="1" x14ac:dyDescent="0.25">
      <c r="A314" s="136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</row>
    <row r="315" spans="1:16" s="1" customFormat="1" ht="15.75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</row>
    <row r="316" spans="1:16" ht="15.75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</row>
    <row r="317" spans="1:16" ht="15.75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"/>
    </row>
    <row r="318" spans="1:16" s="1" customFormat="1" ht="15.75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</row>
    <row r="319" spans="1:16" s="1" customFormat="1" ht="15.75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</row>
    <row r="320" spans="1:16" s="1" customFormat="1" ht="15.75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</row>
    <row r="321" spans="1:16" s="1" customFormat="1" ht="15.7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</row>
    <row r="322" spans="1:16" s="1" customFormat="1" ht="15.7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</row>
    <row r="323" spans="1:16" ht="15.75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"/>
    </row>
    <row r="324" spans="1:16" ht="15.75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"/>
    </row>
    <row r="325" spans="1:16" s="1" customFormat="1" ht="15.75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</row>
    <row r="326" spans="1:16" s="1" customFormat="1" ht="15.75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</row>
    <row r="327" spans="1:16" ht="15.75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"/>
    </row>
    <row r="328" spans="1:16" ht="15.75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"/>
    </row>
    <row r="329" spans="1:16" ht="15.75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"/>
    </row>
    <row r="330" spans="1:16" ht="15.75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"/>
    </row>
    <row r="331" spans="1:16" ht="15.75" x14ac:dyDescent="0.25">
      <c r="A331" s="480"/>
      <c r="B331" s="479"/>
      <c r="C331" s="479"/>
      <c r="D331" s="479"/>
      <c r="E331" s="479"/>
      <c r="F331" s="479"/>
      <c r="G331" s="479"/>
      <c r="H331" s="479"/>
      <c r="I331" s="479"/>
      <c r="J331" s="479"/>
      <c r="K331" s="479"/>
      <c r="L331" s="132"/>
      <c r="M331" s="132"/>
      <c r="N331" s="14"/>
      <c r="O331" s="21"/>
      <c r="P331" s="1"/>
    </row>
    <row r="332" spans="1:16" ht="15.75" x14ac:dyDescent="0.25">
      <c r="A332" s="12" t="s">
        <v>103</v>
      </c>
      <c r="B332" s="479"/>
      <c r="C332" s="479"/>
      <c r="D332" s="479"/>
      <c r="E332" s="479"/>
      <c r="F332" s="479"/>
      <c r="G332" s="479"/>
      <c r="H332" s="479"/>
      <c r="I332" s="479"/>
      <c r="J332" s="479"/>
      <c r="K332" s="479"/>
      <c r="L332" s="132"/>
      <c r="M332" s="132"/>
      <c r="N332" s="14"/>
      <c r="O332" s="137"/>
      <c r="P332" s="1"/>
    </row>
    <row r="333" spans="1:16" ht="15.75" x14ac:dyDescent="0.25">
      <c r="A333" s="12" t="s">
        <v>100</v>
      </c>
      <c r="B333" s="479"/>
      <c r="C333" s="479"/>
      <c r="D333" s="479"/>
      <c r="E333" s="479"/>
      <c r="F333" s="479"/>
      <c r="G333" s="479"/>
      <c r="H333" s="479"/>
      <c r="I333" s="479"/>
      <c r="J333" s="479"/>
      <c r="K333" s="479"/>
      <c r="L333" s="132"/>
      <c r="M333" s="132"/>
      <c r="N333" s="14"/>
      <c r="O333" s="14"/>
      <c r="P333" s="1"/>
    </row>
    <row r="334" spans="1:16" ht="15.75" x14ac:dyDescent="0.25">
      <c r="A334" s="14"/>
      <c r="B334" s="12" t="s">
        <v>42</v>
      </c>
      <c r="C334" s="12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"/>
    </row>
    <row r="335" spans="1:16" ht="16.5" thickBot="1" x14ac:dyDescent="0.3">
      <c r="A335" s="14"/>
      <c r="B335" s="12"/>
      <c r="C335" s="12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"/>
    </row>
    <row r="336" spans="1:16" ht="16.5" thickTop="1" x14ac:dyDescent="0.25">
      <c r="A336" s="212" t="s">
        <v>3</v>
      </c>
      <c r="B336" s="497" t="s">
        <v>4</v>
      </c>
      <c r="C336" s="490"/>
      <c r="D336" s="493" t="s">
        <v>5</v>
      </c>
      <c r="E336" s="494"/>
      <c r="F336" s="492" t="s">
        <v>6</v>
      </c>
      <c r="G336" s="492"/>
      <c r="H336" s="493" t="s">
        <v>62</v>
      </c>
      <c r="I336" s="494"/>
      <c r="J336" s="492" t="s">
        <v>7</v>
      </c>
      <c r="K336" s="505"/>
      <c r="L336" s="493" t="s">
        <v>72</v>
      </c>
      <c r="M336" s="506"/>
      <c r="N336" s="254" t="s">
        <v>8</v>
      </c>
      <c r="O336" s="315" t="s">
        <v>8</v>
      </c>
      <c r="P336" s="1"/>
    </row>
    <row r="337" spans="1:16" ht="16.5" thickBot="1" x14ac:dyDescent="0.3">
      <c r="A337" s="213"/>
      <c r="B337" s="489" t="s">
        <v>9</v>
      </c>
      <c r="C337" s="489"/>
      <c r="D337" s="495" t="s">
        <v>9</v>
      </c>
      <c r="E337" s="496"/>
      <c r="F337" s="489" t="s">
        <v>9</v>
      </c>
      <c r="G337" s="489"/>
      <c r="H337" s="495" t="s">
        <v>9</v>
      </c>
      <c r="I337" s="496"/>
      <c r="J337" s="483"/>
      <c r="K337" s="78"/>
      <c r="L337" s="495" t="s">
        <v>10</v>
      </c>
      <c r="M337" s="503"/>
      <c r="N337" s="22" t="s">
        <v>11</v>
      </c>
      <c r="O337" s="316" t="s">
        <v>11</v>
      </c>
      <c r="P337" s="1"/>
    </row>
    <row r="338" spans="1:16" ht="16.5" thickBot="1" x14ac:dyDescent="0.3">
      <c r="A338" s="214"/>
      <c r="B338" s="26" t="s">
        <v>12</v>
      </c>
      <c r="C338" s="27" t="s">
        <v>13</v>
      </c>
      <c r="D338" s="24" t="s">
        <v>12</v>
      </c>
      <c r="E338" s="25" t="s">
        <v>13</v>
      </c>
      <c r="F338" s="26" t="s">
        <v>12</v>
      </c>
      <c r="G338" s="27" t="s">
        <v>13</v>
      </c>
      <c r="H338" s="24" t="s">
        <v>12</v>
      </c>
      <c r="I338" s="25" t="s">
        <v>13</v>
      </c>
      <c r="J338" s="24" t="s">
        <v>12</v>
      </c>
      <c r="K338" s="444" t="s">
        <v>13</v>
      </c>
      <c r="L338" s="24" t="s">
        <v>12</v>
      </c>
      <c r="M338" s="25" t="s">
        <v>13</v>
      </c>
      <c r="N338" s="28"/>
      <c r="O338" s="198"/>
      <c r="P338" s="1"/>
    </row>
    <row r="339" spans="1:16" ht="15.75" x14ac:dyDescent="0.25">
      <c r="A339" s="215" t="s">
        <v>14</v>
      </c>
      <c r="B339" s="463"/>
      <c r="C339" s="464"/>
      <c r="D339" s="465"/>
      <c r="E339" s="466"/>
      <c r="F339" s="35"/>
      <c r="G339" s="285"/>
      <c r="H339" s="85"/>
      <c r="I339" s="36"/>
      <c r="J339" s="85"/>
      <c r="K339" s="275"/>
      <c r="L339" s="85"/>
      <c r="M339" s="145"/>
      <c r="N339" s="87"/>
      <c r="O339" s="199"/>
      <c r="P339" s="1"/>
    </row>
    <row r="340" spans="1:16" ht="15.75" x14ac:dyDescent="0.25">
      <c r="A340" s="216" t="s">
        <v>126</v>
      </c>
      <c r="B340" s="46">
        <v>150</v>
      </c>
      <c r="C340" s="61">
        <v>200</v>
      </c>
      <c r="D340" s="91">
        <v>4.3499999999999996</v>
      </c>
      <c r="E340" s="90">
        <v>5.8</v>
      </c>
      <c r="F340" s="88">
        <v>8.25</v>
      </c>
      <c r="G340" s="92">
        <v>11</v>
      </c>
      <c r="H340" s="91">
        <v>19.8</v>
      </c>
      <c r="I340" s="90">
        <v>26.4</v>
      </c>
      <c r="J340" s="91">
        <v>174</v>
      </c>
      <c r="K340" s="94">
        <v>232</v>
      </c>
      <c r="L340" s="91"/>
      <c r="M340" s="89"/>
      <c r="N340" s="37"/>
      <c r="O340" s="200">
        <v>96</v>
      </c>
      <c r="P340" s="1"/>
    </row>
    <row r="341" spans="1:16" ht="15.75" x14ac:dyDescent="0.25">
      <c r="A341" s="216" t="s">
        <v>75</v>
      </c>
      <c r="B341" s="46">
        <v>35</v>
      </c>
      <c r="C341" s="74">
        <v>35</v>
      </c>
      <c r="D341" s="91">
        <v>2.42</v>
      </c>
      <c r="E341" s="89">
        <v>2.42</v>
      </c>
      <c r="F341" s="88">
        <v>3.9249999999999998</v>
      </c>
      <c r="G341" s="94">
        <v>3.9249999999999998</v>
      </c>
      <c r="H341" s="91">
        <v>14.57</v>
      </c>
      <c r="I341" s="89">
        <v>14.57</v>
      </c>
      <c r="J341" s="91">
        <v>103.96</v>
      </c>
      <c r="K341" s="94">
        <v>103.96</v>
      </c>
      <c r="L341" s="91"/>
      <c r="M341" s="90"/>
      <c r="N341" s="37">
        <v>1</v>
      </c>
      <c r="O341" s="200"/>
      <c r="P341" s="1"/>
    </row>
    <row r="342" spans="1:16" ht="16.5" thickBot="1" x14ac:dyDescent="0.3">
      <c r="A342" s="261" t="s">
        <v>76</v>
      </c>
      <c r="B342" s="188" t="s">
        <v>88</v>
      </c>
      <c r="C342" s="43" t="s">
        <v>71</v>
      </c>
      <c r="D342" s="57">
        <f>0.04/15*16</f>
        <v>4.2666666666666665E-2</v>
      </c>
      <c r="E342" s="281">
        <f>0.07/2*1.8</f>
        <v>6.3000000000000014E-2</v>
      </c>
      <c r="F342" s="282">
        <f>0.01/15*16</f>
        <v>1.0666666666666666E-2</v>
      </c>
      <c r="G342" s="58">
        <f>0.02/2*1.8</f>
        <v>1.8000000000000002E-2</v>
      </c>
      <c r="H342" s="57">
        <f>6.99/15*16</f>
        <v>7.4560000000000004</v>
      </c>
      <c r="I342" s="281">
        <f>11.1/2*1.8</f>
        <v>9.99</v>
      </c>
      <c r="J342" s="282">
        <f>28/15*16</f>
        <v>29.866666666666667</v>
      </c>
      <c r="K342" s="58">
        <f>44.44/2*1.8</f>
        <v>39.996000000000002</v>
      </c>
      <c r="L342" s="57">
        <f>0.02/15*16</f>
        <v>2.1333333333333333E-2</v>
      </c>
      <c r="M342" s="281">
        <f>0.03/2*1.8</f>
        <v>2.7E-2</v>
      </c>
      <c r="N342" s="42" t="s">
        <v>17</v>
      </c>
      <c r="O342" s="251"/>
      <c r="P342" s="1"/>
    </row>
    <row r="343" spans="1:16" ht="16.5" thickBot="1" x14ac:dyDescent="0.3">
      <c r="A343" s="214"/>
      <c r="B343" s="311">
        <f t="shared" ref="B343:M343" si="28">SUM(B340:B342)</f>
        <v>185</v>
      </c>
      <c r="C343" s="314">
        <f t="shared" si="28"/>
        <v>235</v>
      </c>
      <c r="D343" s="339">
        <f t="shared" si="28"/>
        <v>6.812666666666666</v>
      </c>
      <c r="E343" s="342">
        <f t="shared" si="28"/>
        <v>8.2829999999999995</v>
      </c>
      <c r="F343" s="337">
        <f t="shared" si="28"/>
        <v>12.185666666666668</v>
      </c>
      <c r="G343" s="341">
        <f t="shared" si="28"/>
        <v>14.943000000000001</v>
      </c>
      <c r="H343" s="339">
        <f t="shared" si="28"/>
        <v>41.826000000000008</v>
      </c>
      <c r="I343" s="342">
        <f t="shared" si="28"/>
        <v>50.96</v>
      </c>
      <c r="J343" s="339">
        <f t="shared" si="28"/>
        <v>307.82666666666665</v>
      </c>
      <c r="K343" s="341">
        <f t="shared" si="28"/>
        <v>375.95599999999996</v>
      </c>
      <c r="L343" s="339">
        <f t="shared" si="28"/>
        <v>2.1333333333333333E-2</v>
      </c>
      <c r="M343" s="342">
        <f t="shared" si="28"/>
        <v>2.7E-2</v>
      </c>
      <c r="N343" s="28"/>
      <c r="O343" s="198"/>
      <c r="P343" s="1"/>
    </row>
    <row r="344" spans="1:16" ht="16.5" thickBot="1" x14ac:dyDescent="0.3">
      <c r="A344" s="289" t="s">
        <v>18</v>
      </c>
      <c r="B344" s="108"/>
      <c r="C344" s="73"/>
      <c r="D344" s="120"/>
      <c r="E344" s="128"/>
      <c r="F344" s="119"/>
      <c r="G344" s="372"/>
      <c r="H344" s="120"/>
      <c r="I344" s="128"/>
      <c r="J344" s="120"/>
      <c r="K344" s="129"/>
      <c r="L344" s="120"/>
      <c r="M344" s="178"/>
      <c r="N344" s="107"/>
      <c r="O344" s="207"/>
      <c r="P344" s="1"/>
    </row>
    <row r="345" spans="1:16" ht="16.5" thickBot="1" x14ac:dyDescent="0.3">
      <c r="A345" s="290" t="s">
        <v>111</v>
      </c>
      <c r="B345" s="311">
        <v>100</v>
      </c>
      <c r="C345" s="312">
        <v>100</v>
      </c>
      <c r="D345" s="339">
        <v>0.4</v>
      </c>
      <c r="E345" s="340">
        <v>0.4</v>
      </c>
      <c r="F345" s="337">
        <v>0.4</v>
      </c>
      <c r="G345" s="338">
        <v>0.4</v>
      </c>
      <c r="H345" s="339">
        <v>9.8000000000000007</v>
      </c>
      <c r="I345" s="342">
        <v>9.8000000000000007</v>
      </c>
      <c r="J345" s="339">
        <v>44</v>
      </c>
      <c r="K345" s="341">
        <v>44</v>
      </c>
      <c r="L345" s="339">
        <v>10</v>
      </c>
      <c r="M345" s="340">
        <v>10</v>
      </c>
      <c r="N345" s="329">
        <v>386</v>
      </c>
      <c r="O345" s="467"/>
      <c r="P345" s="1"/>
    </row>
    <row r="346" spans="1:16" ht="15.75" x14ac:dyDescent="0.25">
      <c r="A346" s="219" t="s">
        <v>19</v>
      </c>
      <c r="B346" s="121"/>
      <c r="C346" s="244"/>
      <c r="D346" s="157"/>
      <c r="E346" s="124"/>
      <c r="F346" s="123"/>
      <c r="G346" s="156"/>
      <c r="H346" s="157"/>
      <c r="I346" s="124"/>
      <c r="J346" s="157"/>
      <c r="K346" s="125"/>
      <c r="L346" s="157"/>
      <c r="M346" s="126"/>
      <c r="N346" s="38"/>
      <c r="O346" s="199"/>
      <c r="P346" s="1"/>
    </row>
    <row r="347" spans="1:16" s="1" customFormat="1" ht="15.75" x14ac:dyDescent="0.25">
      <c r="A347" s="216" t="s">
        <v>132</v>
      </c>
      <c r="B347" s="46">
        <v>30</v>
      </c>
      <c r="C347" s="74">
        <v>50</v>
      </c>
      <c r="D347" s="91">
        <v>0.29499999999999998</v>
      </c>
      <c r="E347" s="89">
        <v>0.49166666666666664</v>
      </c>
      <c r="F347" s="88">
        <v>1.845</v>
      </c>
      <c r="G347" s="94">
        <v>3.0750000000000002</v>
      </c>
      <c r="H347" s="91">
        <v>1.1200000000000001</v>
      </c>
      <c r="I347" s="89">
        <v>1.8666666666666667</v>
      </c>
      <c r="J347" s="91">
        <v>22.5</v>
      </c>
      <c r="K347" s="94">
        <v>37.5</v>
      </c>
      <c r="L347" s="91">
        <v>5.03</v>
      </c>
      <c r="M347" s="89">
        <v>8.3833333333333329</v>
      </c>
      <c r="N347" s="37">
        <v>15</v>
      </c>
      <c r="O347" s="202"/>
    </row>
    <row r="348" spans="1:16" ht="15.75" x14ac:dyDescent="0.25">
      <c r="A348" s="216" t="s">
        <v>78</v>
      </c>
      <c r="B348" s="114">
        <v>150</v>
      </c>
      <c r="C348" s="169">
        <f>200/2*1.8</f>
        <v>180</v>
      </c>
      <c r="D348" s="91">
        <v>1.3</v>
      </c>
      <c r="E348" s="90">
        <f>1.74/2*1.8</f>
        <v>1.5660000000000001</v>
      </c>
      <c r="F348" s="88">
        <v>3.14</v>
      </c>
      <c r="G348" s="92">
        <f>4.18/2*1.8</f>
        <v>3.762</v>
      </c>
      <c r="H348" s="91">
        <v>5.12</v>
      </c>
      <c r="I348" s="89">
        <f>6.81/2*1.8</f>
        <v>6.1289999999999996</v>
      </c>
      <c r="J348" s="91">
        <v>53.85</v>
      </c>
      <c r="K348" s="94">
        <f>71.8/2*1.8</f>
        <v>64.62</v>
      </c>
      <c r="L348" s="91">
        <v>11.07</v>
      </c>
      <c r="M348" s="90">
        <f>14.77/2*1.8</f>
        <v>13.292999999999999</v>
      </c>
      <c r="N348" s="37" t="s">
        <v>20</v>
      </c>
      <c r="O348" s="202"/>
      <c r="P348" s="1"/>
    </row>
    <row r="349" spans="1:16" ht="15.75" x14ac:dyDescent="0.25">
      <c r="A349" s="216" t="s">
        <v>63</v>
      </c>
      <c r="B349" s="46">
        <v>50</v>
      </c>
      <c r="C349" s="61">
        <v>70</v>
      </c>
      <c r="D349" s="91">
        <f>10.47/6*5</f>
        <v>8.7250000000000014</v>
      </c>
      <c r="E349" s="90">
        <f>13.99/8*7</f>
        <v>12.241250000000001</v>
      </c>
      <c r="F349" s="88">
        <f>9.82/6*5</f>
        <v>8.1833333333333336</v>
      </c>
      <c r="G349" s="92">
        <f>13.32/8*7</f>
        <v>11.655000000000001</v>
      </c>
      <c r="H349" s="91">
        <f>3.52/6*5</f>
        <v>2.9333333333333336</v>
      </c>
      <c r="I349" s="90">
        <f>4.93/8*7</f>
        <v>4.3137499999999998</v>
      </c>
      <c r="J349" s="91">
        <f>144/6*5</f>
        <v>120</v>
      </c>
      <c r="K349" s="94">
        <f>196/8*7</f>
        <v>171.5</v>
      </c>
      <c r="L349" s="91">
        <f>0.34/6*5</f>
        <v>0.28333333333333333</v>
      </c>
      <c r="M349" s="89">
        <f>0.46/8*7</f>
        <v>0.40250000000000002</v>
      </c>
      <c r="N349" s="37">
        <v>329</v>
      </c>
      <c r="O349" s="202"/>
      <c r="P349" s="1"/>
    </row>
    <row r="350" spans="1:16" ht="15.75" x14ac:dyDescent="0.25">
      <c r="A350" s="217" t="s">
        <v>95</v>
      </c>
      <c r="B350" s="48">
        <v>100</v>
      </c>
      <c r="C350" s="49">
        <v>130</v>
      </c>
      <c r="D350" s="177">
        <v>5.7320000000000002</v>
      </c>
      <c r="E350" s="51">
        <v>7.45</v>
      </c>
      <c r="F350" s="52">
        <v>4.0620000000000003</v>
      </c>
      <c r="G350" s="53">
        <v>5.28</v>
      </c>
      <c r="H350" s="177">
        <v>25.760999999999999</v>
      </c>
      <c r="I350" s="51">
        <v>33.49</v>
      </c>
      <c r="J350" s="50">
        <v>162.5</v>
      </c>
      <c r="K350" s="53">
        <v>211.25</v>
      </c>
      <c r="L350" s="50"/>
      <c r="M350" s="51"/>
      <c r="N350" s="45">
        <v>330</v>
      </c>
      <c r="O350" s="202"/>
    </row>
    <row r="351" spans="1:16" s="1" customFormat="1" ht="15.75" x14ac:dyDescent="0.25">
      <c r="A351" s="217" t="s">
        <v>80</v>
      </c>
      <c r="B351" s="48">
        <v>15</v>
      </c>
      <c r="C351" s="49">
        <v>30</v>
      </c>
      <c r="D351" s="50">
        <v>0.01</v>
      </c>
      <c r="E351" s="51">
        <v>0.18</v>
      </c>
      <c r="F351" s="52">
        <v>0.53</v>
      </c>
      <c r="G351" s="53">
        <v>1.05</v>
      </c>
      <c r="H351" s="50">
        <v>0.55000000000000004</v>
      </c>
      <c r="I351" s="51">
        <v>1.1000000000000001</v>
      </c>
      <c r="J351" s="50">
        <v>7</v>
      </c>
      <c r="K351" s="53">
        <v>15</v>
      </c>
      <c r="L351" s="50">
        <v>0.04</v>
      </c>
      <c r="M351" s="51">
        <v>0.08</v>
      </c>
      <c r="N351" s="45">
        <v>365</v>
      </c>
      <c r="O351" s="247"/>
    </row>
    <row r="352" spans="1:16" s="1" customFormat="1" ht="15.75" x14ac:dyDescent="0.25">
      <c r="A352" s="217" t="s">
        <v>96</v>
      </c>
      <c r="B352" s="46">
        <v>150</v>
      </c>
      <c r="C352" s="61">
        <v>180</v>
      </c>
      <c r="D352" s="91">
        <v>0.33</v>
      </c>
      <c r="E352" s="90">
        <f>0.44/20*18</f>
        <v>0.39599999999999996</v>
      </c>
      <c r="F352" s="52">
        <v>0.02</v>
      </c>
      <c r="G352" s="142">
        <f>0.02/20*18</f>
        <v>1.8000000000000002E-2</v>
      </c>
      <c r="H352" s="91">
        <v>20.83</v>
      </c>
      <c r="I352" s="90">
        <f>27.77/20*18</f>
        <v>24.993000000000002</v>
      </c>
      <c r="J352" s="91">
        <v>85</v>
      </c>
      <c r="K352" s="94">
        <f>113.33/20*18</f>
        <v>101.997</v>
      </c>
      <c r="L352" s="50">
        <v>0.65</v>
      </c>
      <c r="M352" s="51">
        <f>0.96/20*18</f>
        <v>0.86399999999999999</v>
      </c>
      <c r="N352" s="45">
        <v>394</v>
      </c>
      <c r="O352" s="200"/>
    </row>
    <row r="353" spans="1:16" ht="16.5" thickBot="1" x14ac:dyDescent="0.3">
      <c r="A353" s="221" t="s">
        <v>21</v>
      </c>
      <c r="B353" s="69">
        <v>30</v>
      </c>
      <c r="C353" s="276">
        <v>40</v>
      </c>
      <c r="D353" s="177">
        <v>1.98</v>
      </c>
      <c r="E353" s="179">
        <v>2.64</v>
      </c>
      <c r="F353" s="176">
        <v>0.36</v>
      </c>
      <c r="G353" s="373">
        <v>0.48</v>
      </c>
      <c r="H353" s="177">
        <v>10.02</v>
      </c>
      <c r="I353" s="353">
        <v>13.36</v>
      </c>
      <c r="J353" s="177">
        <v>52.2</v>
      </c>
      <c r="K353" s="181">
        <v>69.599999999999994</v>
      </c>
      <c r="L353" s="177"/>
      <c r="M353" s="179"/>
      <c r="N353" s="76"/>
      <c r="O353" s="251"/>
    </row>
    <row r="354" spans="1:16" ht="16.5" thickBot="1" x14ac:dyDescent="0.3">
      <c r="A354" s="290"/>
      <c r="B354" s="279">
        <f t="shared" ref="B354:M354" si="29">SUM(B347:B353)</f>
        <v>525</v>
      </c>
      <c r="C354" s="280">
        <f t="shared" si="29"/>
        <v>680</v>
      </c>
      <c r="D354" s="306">
        <f t="shared" si="29"/>
        <v>18.372000000000003</v>
      </c>
      <c r="E354" s="307">
        <f t="shared" si="29"/>
        <v>24.964916666666667</v>
      </c>
      <c r="F354" s="304">
        <f t="shared" si="29"/>
        <v>18.140333333333334</v>
      </c>
      <c r="G354" s="371">
        <f t="shared" si="29"/>
        <v>25.320000000000004</v>
      </c>
      <c r="H354" s="306">
        <f t="shared" si="29"/>
        <v>66.334333333333333</v>
      </c>
      <c r="I354" s="307">
        <f t="shared" si="29"/>
        <v>85.252416666666676</v>
      </c>
      <c r="J354" s="306">
        <f t="shared" si="29"/>
        <v>503.05</v>
      </c>
      <c r="K354" s="371">
        <f t="shared" si="29"/>
        <v>671.46699999999998</v>
      </c>
      <c r="L354" s="306">
        <f t="shared" si="29"/>
        <v>17.073333333333334</v>
      </c>
      <c r="M354" s="307">
        <f t="shared" si="29"/>
        <v>23.022833333333331</v>
      </c>
      <c r="N354" s="77"/>
      <c r="O354" s="333"/>
    </row>
    <row r="355" spans="1:16" ht="15.75" x14ac:dyDescent="0.25">
      <c r="A355" s="219" t="s">
        <v>22</v>
      </c>
      <c r="B355" s="121"/>
      <c r="C355" s="244"/>
      <c r="D355" s="157"/>
      <c r="E355" s="124"/>
      <c r="F355" s="123"/>
      <c r="G355" s="156"/>
      <c r="H355" s="157"/>
      <c r="I355" s="124"/>
      <c r="J355" s="157"/>
      <c r="K355" s="125"/>
      <c r="L355" s="242"/>
      <c r="M355" s="118"/>
      <c r="N355" s="66"/>
      <c r="O355" s="199"/>
    </row>
    <row r="356" spans="1:16" ht="15.75" x14ac:dyDescent="0.25">
      <c r="A356" s="216" t="s">
        <v>97</v>
      </c>
      <c r="B356" s="46">
        <v>150</v>
      </c>
      <c r="C356" s="61">
        <v>200</v>
      </c>
      <c r="D356" s="91">
        <v>4</v>
      </c>
      <c r="E356" s="90">
        <v>7.2</v>
      </c>
      <c r="F356" s="88">
        <v>3.7</v>
      </c>
      <c r="G356" s="92">
        <v>5.4</v>
      </c>
      <c r="H356" s="96">
        <v>12.2</v>
      </c>
      <c r="I356" s="90">
        <v>18.399999999999999</v>
      </c>
      <c r="J356" s="91">
        <v>108.4</v>
      </c>
      <c r="K356" s="94">
        <v>172</v>
      </c>
      <c r="L356" s="50"/>
      <c r="M356" s="51"/>
      <c r="N356" s="45"/>
      <c r="O356" s="250">
        <v>57</v>
      </c>
    </row>
    <row r="357" spans="1:16" ht="15.75" x14ac:dyDescent="0.25">
      <c r="A357" s="216" t="s">
        <v>21</v>
      </c>
      <c r="B357" s="48">
        <v>15</v>
      </c>
      <c r="C357" s="49">
        <v>30</v>
      </c>
      <c r="D357" s="50">
        <v>0.99</v>
      </c>
      <c r="E357" s="51">
        <v>1.98</v>
      </c>
      <c r="F357" s="52">
        <v>0.18</v>
      </c>
      <c r="G357" s="53">
        <v>0.36</v>
      </c>
      <c r="H357" s="180">
        <v>5.01</v>
      </c>
      <c r="I357" s="95">
        <v>10.02</v>
      </c>
      <c r="J357" s="50">
        <v>26.1</v>
      </c>
      <c r="K357" s="53" t="s">
        <v>57</v>
      </c>
      <c r="L357" s="50"/>
      <c r="M357" s="51"/>
      <c r="N357" s="45"/>
      <c r="O357" s="200"/>
    </row>
    <row r="358" spans="1:16" ht="15.75" x14ac:dyDescent="0.25">
      <c r="A358" s="216" t="s">
        <v>98</v>
      </c>
      <c r="B358" s="46">
        <v>15</v>
      </c>
      <c r="C358" s="74">
        <f>20/4*3</f>
        <v>15</v>
      </c>
      <c r="D358" s="91">
        <v>0.12</v>
      </c>
      <c r="E358" s="89">
        <f>0.16/4*3</f>
        <v>0.12</v>
      </c>
      <c r="F358" s="88">
        <v>1.4999999999999999E-2</v>
      </c>
      <c r="G358" s="94">
        <f>0.02/4*3</f>
        <v>1.4999999999999999E-2</v>
      </c>
      <c r="H358" s="96">
        <v>11.97</v>
      </c>
      <c r="I358" s="90">
        <f>15.96/4*3</f>
        <v>11.97</v>
      </c>
      <c r="J358" s="91">
        <f>65/4*3</f>
        <v>48.75</v>
      </c>
      <c r="K358" s="94">
        <v>48.75</v>
      </c>
      <c r="L358" s="91"/>
      <c r="M358" s="90"/>
      <c r="N358" s="37"/>
      <c r="O358" s="200"/>
    </row>
    <row r="359" spans="1:16" ht="16.5" thickBot="1" x14ac:dyDescent="0.3">
      <c r="A359" s="220" t="s">
        <v>83</v>
      </c>
      <c r="B359" s="147" t="s">
        <v>23</v>
      </c>
      <c r="C359" s="461" t="s">
        <v>24</v>
      </c>
      <c r="D359" s="99">
        <v>7.0000000000000007E-2</v>
      </c>
      <c r="E359" s="100">
        <v>0.13</v>
      </c>
      <c r="F359" s="103">
        <v>0.01</v>
      </c>
      <c r="G359" s="462">
        <v>0.02</v>
      </c>
      <c r="H359" s="99">
        <v>7.1</v>
      </c>
      <c r="I359" s="104">
        <v>11.33</v>
      </c>
      <c r="J359" s="103">
        <v>29</v>
      </c>
      <c r="K359" s="462">
        <v>45.56</v>
      </c>
      <c r="L359" s="99">
        <v>1.42</v>
      </c>
      <c r="M359" s="100">
        <v>3.14</v>
      </c>
      <c r="N359" s="184" t="s">
        <v>25</v>
      </c>
      <c r="O359" s="468"/>
    </row>
    <row r="360" spans="1:16" ht="16.5" thickBot="1" x14ac:dyDescent="0.3">
      <c r="A360" s="290"/>
      <c r="B360" s="279">
        <f>SUM(B356:B359)+160.5</f>
        <v>340.5</v>
      </c>
      <c r="C360" s="280">
        <f>SUM(C356:C359)+217</f>
        <v>462</v>
      </c>
      <c r="D360" s="306">
        <f t="shared" ref="D360:M360" si="30">SUM(D356:D359)</f>
        <v>5.1800000000000006</v>
      </c>
      <c r="E360" s="307">
        <f t="shared" si="30"/>
        <v>9.43</v>
      </c>
      <c r="F360" s="304">
        <f t="shared" si="30"/>
        <v>3.9050000000000002</v>
      </c>
      <c r="G360" s="371">
        <f t="shared" si="30"/>
        <v>5.7949999999999999</v>
      </c>
      <c r="H360" s="306">
        <f t="shared" si="30"/>
        <v>36.28</v>
      </c>
      <c r="I360" s="307">
        <f t="shared" si="30"/>
        <v>51.72</v>
      </c>
      <c r="J360" s="304">
        <f t="shared" si="30"/>
        <v>212.25</v>
      </c>
      <c r="K360" s="371">
        <f t="shared" si="30"/>
        <v>266.31</v>
      </c>
      <c r="L360" s="306">
        <f t="shared" si="30"/>
        <v>1.42</v>
      </c>
      <c r="M360" s="307">
        <f t="shared" si="30"/>
        <v>3.14</v>
      </c>
      <c r="N360" s="77"/>
      <c r="O360" s="198"/>
    </row>
    <row r="361" spans="1:16" s="1" customFormat="1" ht="16.5" thickBot="1" x14ac:dyDescent="0.3">
      <c r="A361" s="298"/>
      <c r="B361" s="108"/>
      <c r="C361" s="479"/>
      <c r="D361" s="120"/>
      <c r="E361" s="178"/>
      <c r="F361" s="119"/>
      <c r="G361" s="129"/>
      <c r="H361" s="120"/>
      <c r="I361" s="178"/>
      <c r="J361" s="119"/>
      <c r="K361" s="129"/>
      <c r="L361" s="120"/>
      <c r="M361" s="178"/>
      <c r="N361" s="107"/>
      <c r="O361" s="252"/>
    </row>
    <row r="362" spans="1:16" ht="17.25" thickTop="1" thickBot="1" x14ac:dyDescent="0.3">
      <c r="A362" s="223" t="s">
        <v>44</v>
      </c>
      <c r="B362" s="193">
        <f t="shared" ref="B362:M362" si="31">B343+B345+B354+B360</f>
        <v>1150.5</v>
      </c>
      <c r="C362" s="270">
        <f t="shared" si="31"/>
        <v>1477</v>
      </c>
      <c r="D362" s="196">
        <f t="shared" si="31"/>
        <v>30.76466666666667</v>
      </c>
      <c r="E362" s="359">
        <f t="shared" si="31"/>
        <v>43.077916666666667</v>
      </c>
      <c r="F362" s="358">
        <f t="shared" si="31"/>
        <v>34.631</v>
      </c>
      <c r="G362" s="430">
        <f t="shared" si="31"/>
        <v>46.458000000000006</v>
      </c>
      <c r="H362" s="196">
        <f t="shared" si="31"/>
        <v>154.24033333333335</v>
      </c>
      <c r="I362" s="359">
        <f t="shared" si="31"/>
        <v>197.73241666666669</v>
      </c>
      <c r="J362" s="358">
        <f t="shared" si="31"/>
        <v>1067.1266666666666</v>
      </c>
      <c r="K362" s="430">
        <f t="shared" si="31"/>
        <v>1357.7329999999999</v>
      </c>
      <c r="L362" s="196">
        <f t="shared" si="31"/>
        <v>28.51466666666667</v>
      </c>
      <c r="M362" s="359">
        <f t="shared" si="31"/>
        <v>36.189833333333333</v>
      </c>
      <c r="N362" s="194"/>
      <c r="O362" s="457"/>
      <c r="P362" s="1"/>
    </row>
    <row r="363" spans="1:16" ht="16.5" thickTop="1" x14ac:dyDescent="0.25">
      <c r="A363" s="136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"/>
    </row>
    <row r="364" spans="1:16" ht="15.75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"/>
    </row>
    <row r="365" spans="1:16" s="1" customFormat="1" ht="15.75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</row>
    <row r="366" spans="1:16" s="1" customFormat="1" ht="15.75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</row>
    <row r="367" spans="1:16" s="1" customFormat="1" ht="15.75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</row>
    <row r="368" spans="1:16" s="1" customFormat="1" ht="15.75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</row>
    <row r="369" spans="1:16" ht="15.75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"/>
    </row>
    <row r="370" spans="1:16" ht="15.75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"/>
    </row>
    <row r="371" spans="1:16" s="1" customFormat="1" ht="15.75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</row>
    <row r="372" spans="1:16" s="1" customFormat="1" ht="15.75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</row>
    <row r="373" spans="1:16" ht="15.75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"/>
    </row>
    <row r="374" spans="1:16" ht="15.75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"/>
    </row>
    <row r="375" spans="1:16" ht="15.75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"/>
    </row>
    <row r="376" spans="1:16" ht="15.75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"/>
    </row>
    <row r="377" spans="1:16" ht="15.75" x14ac:dyDescent="0.25">
      <c r="A377" s="480"/>
      <c r="B377" s="479"/>
      <c r="C377" s="479"/>
      <c r="D377" s="479"/>
      <c r="E377" s="479"/>
      <c r="F377" s="479"/>
      <c r="G377" s="479"/>
      <c r="H377" s="479"/>
      <c r="I377" s="479"/>
      <c r="J377" s="479"/>
      <c r="K377" s="479"/>
      <c r="L377" s="15"/>
      <c r="M377" s="15"/>
      <c r="N377" s="14"/>
      <c r="O377" s="14"/>
      <c r="P377" s="1"/>
    </row>
    <row r="378" spans="1:16" ht="15.75" x14ac:dyDescent="0.25">
      <c r="A378" s="12" t="s">
        <v>103</v>
      </c>
      <c r="B378" s="479"/>
      <c r="C378" s="479"/>
      <c r="D378" s="479"/>
      <c r="E378" s="479"/>
      <c r="F378" s="479"/>
      <c r="G378" s="479"/>
      <c r="H378" s="479"/>
      <c r="I378" s="479"/>
      <c r="J378" s="479"/>
      <c r="K378" s="479"/>
      <c r="L378" s="15"/>
      <c r="M378" s="15"/>
      <c r="N378" s="14"/>
      <c r="O378" s="14"/>
      <c r="P378" s="1"/>
    </row>
    <row r="379" spans="1:16" ht="15.75" x14ac:dyDescent="0.25">
      <c r="A379" s="12" t="s">
        <v>101</v>
      </c>
      <c r="B379" s="479"/>
      <c r="C379" s="479"/>
      <c r="D379" s="479"/>
      <c r="E379" s="479"/>
      <c r="F379" s="479"/>
      <c r="G379" s="479"/>
      <c r="H379" s="479"/>
      <c r="I379" s="479"/>
      <c r="J379" s="479"/>
      <c r="K379" s="479"/>
      <c r="L379" s="15"/>
      <c r="M379" s="15"/>
      <c r="N379" s="14"/>
      <c r="O379" s="14"/>
      <c r="P379" s="1"/>
    </row>
    <row r="380" spans="1:16" s="1" customFormat="1" ht="15.75" x14ac:dyDescent="0.25">
      <c r="A380" s="14"/>
      <c r="B380" s="12" t="s">
        <v>45</v>
      </c>
      <c r="C380" s="12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</row>
    <row r="381" spans="1:16" ht="16.5" thickBot="1" x14ac:dyDescent="0.3">
      <c r="A381" s="14"/>
      <c r="B381" s="12"/>
      <c r="C381" s="12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"/>
    </row>
    <row r="382" spans="1:16" ht="16.5" thickTop="1" x14ac:dyDescent="0.25">
      <c r="A382" s="263" t="s">
        <v>3</v>
      </c>
      <c r="B382" s="497" t="s">
        <v>4</v>
      </c>
      <c r="C382" s="491"/>
      <c r="D382" s="493" t="s">
        <v>5</v>
      </c>
      <c r="E382" s="492"/>
      <c r="F382" s="493" t="s">
        <v>6</v>
      </c>
      <c r="G382" s="494"/>
      <c r="H382" s="492" t="s">
        <v>62</v>
      </c>
      <c r="I382" s="494"/>
      <c r="J382" s="492" t="s">
        <v>7</v>
      </c>
      <c r="K382" s="506"/>
      <c r="L382" s="493" t="s">
        <v>72</v>
      </c>
      <c r="M382" s="505"/>
      <c r="N382" s="406" t="s">
        <v>8</v>
      </c>
      <c r="O382" s="315" t="s">
        <v>8</v>
      </c>
      <c r="P382" s="1"/>
    </row>
    <row r="383" spans="1:16" ht="16.5" thickBot="1" x14ac:dyDescent="0.3">
      <c r="A383" s="264"/>
      <c r="B383" s="495" t="s">
        <v>9</v>
      </c>
      <c r="C383" s="496"/>
      <c r="D383" s="495" t="s">
        <v>9</v>
      </c>
      <c r="E383" s="489"/>
      <c r="F383" s="495" t="s">
        <v>9</v>
      </c>
      <c r="G383" s="496"/>
      <c r="H383" s="489" t="s">
        <v>9</v>
      </c>
      <c r="I383" s="496"/>
      <c r="J383" s="483"/>
      <c r="K383" s="78"/>
      <c r="L383" s="495" t="s">
        <v>10</v>
      </c>
      <c r="M383" s="503"/>
      <c r="N383" s="23" t="s">
        <v>11</v>
      </c>
      <c r="O383" s="316" t="s">
        <v>11</v>
      </c>
      <c r="P383" s="1"/>
    </row>
    <row r="384" spans="1:16" ht="16.5" thickBot="1" x14ac:dyDescent="0.3">
      <c r="A384" s="265"/>
      <c r="B384" s="24" t="s">
        <v>12</v>
      </c>
      <c r="C384" s="25" t="s">
        <v>13</v>
      </c>
      <c r="D384" s="24" t="s">
        <v>12</v>
      </c>
      <c r="E384" s="27" t="s">
        <v>13</v>
      </c>
      <c r="F384" s="24" t="s">
        <v>12</v>
      </c>
      <c r="G384" s="25" t="s">
        <v>13</v>
      </c>
      <c r="H384" s="26" t="s">
        <v>12</v>
      </c>
      <c r="I384" s="25" t="s">
        <v>13</v>
      </c>
      <c r="J384" s="26" t="s">
        <v>12</v>
      </c>
      <c r="K384" s="27" t="s">
        <v>13</v>
      </c>
      <c r="L384" s="24" t="s">
        <v>12</v>
      </c>
      <c r="M384" s="25" t="s">
        <v>13</v>
      </c>
      <c r="N384" s="183"/>
      <c r="O384" s="198"/>
      <c r="P384" s="1"/>
    </row>
    <row r="385" spans="1:16" ht="15.75" x14ac:dyDescent="0.25">
      <c r="A385" s="255" t="s">
        <v>14</v>
      </c>
      <c r="B385" s="469"/>
      <c r="C385" s="29"/>
      <c r="D385" s="460"/>
      <c r="E385" s="400"/>
      <c r="F385" s="404"/>
      <c r="G385" s="31"/>
      <c r="H385" s="32"/>
      <c r="I385" s="274"/>
      <c r="J385" s="248"/>
      <c r="K385" s="33"/>
      <c r="L385" s="190"/>
      <c r="M385" s="145"/>
      <c r="N385" s="145"/>
      <c r="O385" s="199"/>
      <c r="P385" s="1"/>
    </row>
    <row r="386" spans="1:16" ht="15.75" x14ac:dyDescent="0.25">
      <c r="A386" s="258" t="s">
        <v>69</v>
      </c>
      <c r="B386" s="146">
        <v>150</v>
      </c>
      <c r="C386" s="47">
        <v>200</v>
      </c>
      <c r="D386" s="91">
        <v>4.3099999999999996</v>
      </c>
      <c r="E386" s="94">
        <v>5.75</v>
      </c>
      <c r="F386" s="96">
        <v>3.91</v>
      </c>
      <c r="G386" s="90">
        <v>5.21</v>
      </c>
      <c r="H386" s="88">
        <v>14.13</v>
      </c>
      <c r="I386" s="89">
        <v>18.84</v>
      </c>
      <c r="J386" s="94">
        <v>108.9</v>
      </c>
      <c r="K386" s="92">
        <v>145.19999999999999</v>
      </c>
      <c r="L386" s="91">
        <v>0.68</v>
      </c>
      <c r="M386" s="89">
        <v>0.91</v>
      </c>
      <c r="N386" s="44">
        <v>100</v>
      </c>
      <c r="O386" s="200"/>
      <c r="P386" s="1"/>
    </row>
    <row r="387" spans="1:16" s="1" customFormat="1" ht="15.75" x14ac:dyDescent="0.25">
      <c r="A387" s="258" t="s">
        <v>116</v>
      </c>
      <c r="B387" s="412">
        <v>170</v>
      </c>
      <c r="C387" s="72">
        <v>200</v>
      </c>
      <c r="D387" s="50">
        <f>2.34/15*17</f>
        <v>2.6520000000000001</v>
      </c>
      <c r="E387" s="53">
        <v>2.56</v>
      </c>
      <c r="F387" s="180">
        <f>2/15*17</f>
        <v>2.2666666666666666</v>
      </c>
      <c r="G387" s="95">
        <v>2.67</v>
      </c>
      <c r="H387" s="52">
        <f>10.53/15*17</f>
        <v>11.933999999999999</v>
      </c>
      <c r="I387" s="51">
        <v>15.95</v>
      </c>
      <c r="J387" s="53">
        <f>70/15*17</f>
        <v>79.333333333333343</v>
      </c>
      <c r="K387" s="142">
        <v>102.11</v>
      </c>
      <c r="L387" s="50">
        <f>0.98/15*17</f>
        <v>1.1106666666666665</v>
      </c>
      <c r="M387" s="51">
        <v>1.3</v>
      </c>
      <c r="N387" s="54">
        <v>414</v>
      </c>
      <c r="O387" s="200"/>
    </row>
    <row r="388" spans="1:16" ht="16.5" thickBot="1" x14ac:dyDescent="0.3">
      <c r="A388" s="458" t="s">
        <v>75</v>
      </c>
      <c r="B388" s="413">
        <v>35</v>
      </c>
      <c r="C388" s="40">
        <v>35</v>
      </c>
      <c r="D388" s="282">
        <v>2.42</v>
      </c>
      <c r="E388" s="57">
        <v>2.42</v>
      </c>
      <c r="F388" s="418">
        <v>3.9249999999999998</v>
      </c>
      <c r="G388" s="56">
        <v>3.9249999999999998</v>
      </c>
      <c r="H388" s="55">
        <v>14.57</v>
      </c>
      <c r="I388" s="58">
        <v>14.57</v>
      </c>
      <c r="J388" s="57">
        <v>103.96</v>
      </c>
      <c r="K388" s="281">
        <v>103.96</v>
      </c>
      <c r="L388" s="282"/>
      <c r="M388" s="58"/>
      <c r="N388" s="43">
        <v>1</v>
      </c>
      <c r="O388" s="251"/>
      <c r="P388" s="1"/>
    </row>
    <row r="389" spans="1:16" ht="16.5" thickBot="1" x14ac:dyDescent="0.3">
      <c r="A389" s="265"/>
      <c r="B389" s="424">
        <f>SUM(B386:B388)</f>
        <v>355</v>
      </c>
      <c r="C389" s="336">
        <f t="shared" ref="C389:M389" si="32">SUM(C386:C388)</f>
        <v>435</v>
      </c>
      <c r="D389" s="339">
        <f t="shared" si="32"/>
        <v>9.3819999999999997</v>
      </c>
      <c r="E389" s="341">
        <f t="shared" si="32"/>
        <v>10.73</v>
      </c>
      <c r="F389" s="425">
        <f t="shared" si="32"/>
        <v>10.101666666666667</v>
      </c>
      <c r="G389" s="340">
        <f t="shared" si="32"/>
        <v>11.805</v>
      </c>
      <c r="H389" s="337">
        <f t="shared" si="32"/>
        <v>40.634</v>
      </c>
      <c r="I389" s="342">
        <f t="shared" si="32"/>
        <v>49.36</v>
      </c>
      <c r="J389" s="341">
        <f t="shared" si="32"/>
        <v>292.19333333333333</v>
      </c>
      <c r="K389" s="338">
        <f t="shared" si="32"/>
        <v>351.27</v>
      </c>
      <c r="L389" s="339">
        <f t="shared" si="32"/>
        <v>1.7906666666666666</v>
      </c>
      <c r="M389" s="342">
        <f t="shared" si="32"/>
        <v>2.21</v>
      </c>
      <c r="N389" s="183"/>
      <c r="O389" s="198"/>
      <c r="P389" s="1"/>
    </row>
    <row r="390" spans="1:16" ht="16.5" thickBot="1" x14ac:dyDescent="0.3">
      <c r="A390" s="284" t="s">
        <v>18</v>
      </c>
      <c r="B390" s="245"/>
      <c r="C390" s="127"/>
      <c r="D390" s="120"/>
      <c r="E390" s="129"/>
      <c r="F390" s="410"/>
      <c r="G390" s="128"/>
      <c r="H390" s="119"/>
      <c r="I390" s="178"/>
      <c r="J390" s="129"/>
      <c r="K390" s="372"/>
      <c r="L390" s="120"/>
      <c r="M390" s="178"/>
      <c r="N390" s="130"/>
      <c r="O390" s="207"/>
    </row>
    <row r="391" spans="1:16" ht="16.5" thickBot="1" x14ac:dyDescent="0.3">
      <c r="A391" s="408" t="s">
        <v>106</v>
      </c>
      <c r="B391" s="427">
        <f>130/13*10</f>
        <v>100</v>
      </c>
      <c r="C391" s="239">
        <v>100</v>
      </c>
      <c r="D391" s="241">
        <f>3.38/13*10</f>
        <v>2.6</v>
      </c>
      <c r="E391" s="287">
        <v>2.6</v>
      </c>
      <c r="F391" s="427">
        <f>3.25/13*10</f>
        <v>2.5</v>
      </c>
      <c r="G391" s="239">
        <v>2.5</v>
      </c>
      <c r="H391" s="238">
        <f>14.3/13*10</f>
        <v>11</v>
      </c>
      <c r="I391" s="183">
        <v>11</v>
      </c>
      <c r="J391" s="287">
        <f>101/13*10</f>
        <v>77.692307692307693</v>
      </c>
      <c r="K391" s="286">
        <v>77.691999999999993</v>
      </c>
      <c r="L391" s="241"/>
      <c r="M391" s="183"/>
      <c r="N391" s="183">
        <v>418</v>
      </c>
      <c r="O391" s="198"/>
    </row>
    <row r="392" spans="1:16" s="1" customFormat="1" ht="15.75" x14ac:dyDescent="0.25">
      <c r="A392" s="255" t="s">
        <v>19</v>
      </c>
      <c r="B392" s="423"/>
      <c r="C392" s="122"/>
      <c r="D392" s="157"/>
      <c r="E392" s="125"/>
      <c r="F392" s="158"/>
      <c r="G392" s="124"/>
      <c r="H392" s="123"/>
      <c r="I392" s="126"/>
      <c r="J392" s="125"/>
      <c r="K392" s="156"/>
      <c r="L392" s="157"/>
      <c r="M392" s="126"/>
      <c r="N392" s="145"/>
      <c r="O392" s="199"/>
    </row>
    <row r="393" spans="1:16" s="1" customFormat="1" ht="15.75" x14ac:dyDescent="0.25">
      <c r="A393" s="258" t="s">
        <v>129</v>
      </c>
      <c r="B393" s="60">
        <v>30</v>
      </c>
      <c r="C393" s="44">
        <v>50</v>
      </c>
      <c r="D393" s="91">
        <v>0.42</v>
      </c>
      <c r="E393" s="94">
        <f>0.84/6*5</f>
        <v>0.7</v>
      </c>
      <c r="F393" s="91">
        <f>3.05/2</f>
        <v>1.5249999999999999</v>
      </c>
      <c r="G393" s="89">
        <f>3.05/6*5</f>
        <v>2.5416666666666665</v>
      </c>
      <c r="H393" s="88">
        <f>5.19/2</f>
        <v>2.5950000000000002</v>
      </c>
      <c r="I393" s="89">
        <f>5.19/6*5</f>
        <v>4.3250000000000002</v>
      </c>
      <c r="J393" s="88">
        <v>26</v>
      </c>
      <c r="K393" s="94">
        <f>52/6*5</f>
        <v>43.333333333333329</v>
      </c>
      <c r="L393" s="91">
        <f>20.97/2</f>
        <v>10.484999999999999</v>
      </c>
      <c r="M393" s="89">
        <f>20.97/6*5</f>
        <v>17.474999999999998</v>
      </c>
      <c r="N393" s="44">
        <v>21</v>
      </c>
      <c r="O393" s="200"/>
    </row>
    <row r="394" spans="1:16" ht="15.75" x14ac:dyDescent="0.25">
      <c r="A394" s="409" t="s">
        <v>118</v>
      </c>
      <c r="B394" s="414">
        <v>150</v>
      </c>
      <c r="C394" s="63">
        <v>200</v>
      </c>
      <c r="D394" s="91">
        <v>1.54</v>
      </c>
      <c r="E394" s="94">
        <v>48.8</v>
      </c>
      <c r="F394" s="96">
        <v>2.0499999999999998</v>
      </c>
      <c r="G394" s="90">
        <v>2.72</v>
      </c>
      <c r="H394" s="88">
        <v>7.57</v>
      </c>
      <c r="I394" s="89">
        <v>9.9499999999999993</v>
      </c>
      <c r="J394" s="94">
        <v>56.35</v>
      </c>
      <c r="K394" s="92">
        <v>73.8</v>
      </c>
      <c r="L394" s="91">
        <v>3.45</v>
      </c>
      <c r="M394" s="89">
        <v>4.5999999999999996</v>
      </c>
      <c r="N394" s="44" t="s">
        <v>43</v>
      </c>
      <c r="O394" s="202"/>
    </row>
    <row r="395" spans="1:16" ht="15.75" x14ac:dyDescent="0.25">
      <c r="A395" s="409" t="s">
        <v>58</v>
      </c>
      <c r="B395" s="423">
        <v>60</v>
      </c>
      <c r="C395" s="47">
        <v>80</v>
      </c>
      <c r="D395" s="157">
        <v>8.9</v>
      </c>
      <c r="E395" s="125">
        <v>11.8</v>
      </c>
      <c r="F395" s="158">
        <v>4</v>
      </c>
      <c r="G395" s="124">
        <v>6.1</v>
      </c>
      <c r="H395" s="123">
        <v>10</v>
      </c>
      <c r="I395" s="89">
        <v>13.4</v>
      </c>
      <c r="J395" s="129">
        <v>120</v>
      </c>
      <c r="K395" s="156">
        <v>160</v>
      </c>
      <c r="L395" s="157"/>
      <c r="M395" s="126"/>
      <c r="N395" s="21">
        <v>123</v>
      </c>
      <c r="O395" s="199"/>
    </row>
    <row r="396" spans="1:16" ht="15.75" x14ac:dyDescent="0.25">
      <c r="A396" s="258" t="s">
        <v>67</v>
      </c>
      <c r="B396" s="423">
        <v>100</v>
      </c>
      <c r="C396" s="122">
        <v>130</v>
      </c>
      <c r="D396" s="157">
        <v>2.4300000000000002</v>
      </c>
      <c r="E396" s="125">
        <v>3.16</v>
      </c>
      <c r="F396" s="158">
        <v>3.58</v>
      </c>
      <c r="G396" s="124">
        <v>4.6500000000000004</v>
      </c>
      <c r="H396" s="123">
        <v>24.45</v>
      </c>
      <c r="I396" s="125">
        <v>31.8</v>
      </c>
      <c r="J396" s="446">
        <v>139.83000000000001</v>
      </c>
      <c r="K396" s="156">
        <v>181.74</v>
      </c>
      <c r="L396" s="242"/>
      <c r="M396" s="118"/>
      <c r="N396" s="54">
        <v>332</v>
      </c>
      <c r="O396" s="202"/>
    </row>
    <row r="397" spans="1:16" s="1" customFormat="1" ht="15.75" x14ac:dyDescent="0.25">
      <c r="A397" s="257" t="s">
        <v>80</v>
      </c>
      <c r="B397" s="412">
        <v>15</v>
      </c>
      <c r="C397" s="72">
        <v>30</v>
      </c>
      <c r="D397" s="68">
        <v>0.01</v>
      </c>
      <c r="E397" s="49">
        <v>0.18</v>
      </c>
      <c r="F397" s="412">
        <v>0.53</v>
      </c>
      <c r="G397" s="72">
        <v>1.05</v>
      </c>
      <c r="H397" s="48">
        <v>0.55000000000000004</v>
      </c>
      <c r="I397" s="54">
        <v>1.1000000000000001</v>
      </c>
      <c r="J397" s="49">
        <v>7</v>
      </c>
      <c r="K397" s="71">
        <v>15</v>
      </c>
      <c r="L397" s="68">
        <v>0.04</v>
      </c>
      <c r="M397" s="54">
        <v>0.08</v>
      </c>
      <c r="N397" s="54">
        <v>365</v>
      </c>
      <c r="O397" s="247"/>
    </row>
    <row r="398" spans="1:16" s="1" customFormat="1" ht="15.75" x14ac:dyDescent="0.25">
      <c r="A398" s="258" t="s">
        <v>73</v>
      </c>
      <c r="B398" s="146">
        <v>150</v>
      </c>
      <c r="C398" s="47">
        <v>200</v>
      </c>
      <c r="D398" s="91"/>
      <c r="E398" s="94"/>
      <c r="F398" s="96"/>
      <c r="G398" s="90"/>
      <c r="H398" s="88">
        <v>25</v>
      </c>
      <c r="I398" s="89">
        <v>30.6</v>
      </c>
      <c r="J398" s="94">
        <v>89</v>
      </c>
      <c r="K398" s="92">
        <v>119</v>
      </c>
      <c r="L398" s="50"/>
      <c r="M398" s="51"/>
      <c r="N398" s="168"/>
      <c r="O398" s="441">
        <v>201</v>
      </c>
    </row>
    <row r="399" spans="1:16" s="1" customFormat="1" ht="16.5" thickBot="1" x14ac:dyDescent="0.3">
      <c r="A399" s="261" t="s">
        <v>21</v>
      </c>
      <c r="B399" s="428">
        <v>30</v>
      </c>
      <c r="C399" s="131">
        <v>40</v>
      </c>
      <c r="D399" s="177">
        <v>1.98</v>
      </c>
      <c r="E399" s="181">
        <v>2.64</v>
      </c>
      <c r="F399" s="429">
        <v>0.36</v>
      </c>
      <c r="G399" s="179">
        <v>0.48</v>
      </c>
      <c r="H399" s="176">
        <v>10.02</v>
      </c>
      <c r="I399" s="353">
        <v>13.36</v>
      </c>
      <c r="J399" s="181">
        <v>52.2</v>
      </c>
      <c r="K399" s="373">
        <v>69.599999999999994</v>
      </c>
      <c r="L399" s="177"/>
      <c r="M399" s="353"/>
      <c r="N399" s="75"/>
      <c r="O399" s="251"/>
    </row>
    <row r="400" spans="1:16" s="1" customFormat="1" ht="16.5" thickBot="1" x14ac:dyDescent="0.3">
      <c r="A400" s="408"/>
      <c r="B400" s="283">
        <f t="shared" ref="B400:M400" si="33">SUM(B393:B399)</f>
        <v>535</v>
      </c>
      <c r="C400" s="303">
        <f t="shared" si="33"/>
        <v>730</v>
      </c>
      <c r="D400" s="306">
        <f t="shared" si="33"/>
        <v>15.28</v>
      </c>
      <c r="E400" s="371">
        <f t="shared" si="33"/>
        <v>67.28</v>
      </c>
      <c r="F400" s="370">
        <f t="shared" si="33"/>
        <v>12.044999999999998</v>
      </c>
      <c r="G400" s="305">
        <f t="shared" si="33"/>
        <v>17.541666666666668</v>
      </c>
      <c r="H400" s="304">
        <f t="shared" si="33"/>
        <v>80.184999999999988</v>
      </c>
      <c r="I400" s="307">
        <f t="shared" si="33"/>
        <v>104.535</v>
      </c>
      <c r="J400" s="371">
        <f t="shared" si="33"/>
        <v>490.38</v>
      </c>
      <c r="K400" s="451">
        <f t="shared" si="33"/>
        <v>662.47333333333336</v>
      </c>
      <c r="L400" s="306">
        <f t="shared" si="33"/>
        <v>13.974999999999998</v>
      </c>
      <c r="M400" s="307">
        <f t="shared" si="33"/>
        <v>22.154999999999994</v>
      </c>
      <c r="N400" s="308"/>
      <c r="O400" s="333"/>
    </row>
    <row r="401" spans="1:16" s="1" customFormat="1" ht="15.75" x14ac:dyDescent="0.25">
      <c r="A401" s="255" t="s">
        <v>22</v>
      </c>
      <c r="B401" s="423"/>
      <c r="C401" s="122"/>
      <c r="D401" s="157"/>
      <c r="E401" s="125"/>
      <c r="F401" s="158"/>
      <c r="G401" s="124"/>
      <c r="H401" s="123"/>
      <c r="I401" s="126"/>
      <c r="J401" s="125"/>
      <c r="K401" s="156"/>
      <c r="L401" s="242"/>
      <c r="M401" s="118"/>
      <c r="N401" s="67"/>
      <c r="O401" s="203"/>
    </row>
    <row r="402" spans="1:16" s="1" customFormat="1" ht="15.75" x14ac:dyDescent="0.25">
      <c r="A402" s="258" t="s">
        <v>119</v>
      </c>
      <c r="B402" s="146">
        <f>100/10*7</f>
        <v>70</v>
      </c>
      <c r="C402" s="47">
        <f>150/15*9</f>
        <v>90</v>
      </c>
      <c r="D402" s="91">
        <f>14.3/10*7</f>
        <v>10.010000000000002</v>
      </c>
      <c r="E402" s="94">
        <f>20.5/15*9</f>
        <v>12.3</v>
      </c>
      <c r="F402" s="96">
        <f>9.5/10*7</f>
        <v>6.6499999999999995</v>
      </c>
      <c r="G402" s="90">
        <f>13.7/15*9</f>
        <v>8.2200000000000006</v>
      </c>
      <c r="H402" s="88">
        <f>21.8/10*7</f>
        <v>15.260000000000002</v>
      </c>
      <c r="I402" s="89">
        <f>30.2/15*9</f>
        <v>18.119999999999997</v>
      </c>
      <c r="J402" s="94">
        <f>236.7/10*7</f>
        <v>165.69</v>
      </c>
      <c r="K402" s="92">
        <f>340.8/15*9</f>
        <v>204.48000000000002</v>
      </c>
      <c r="L402" s="50"/>
      <c r="M402" s="51"/>
      <c r="N402" s="54"/>
      <c r="O402" s="202">
        <v>116</v>
      </c>
    </row>
    <row r="403" spans="1:16" ht="15.75" x14ac:dyDescent="0.25">
      <c r="A403" s="258" t="s">
        <v>108</v>
      </c>
      <c r="B403" s="146">
        <v>15</v>
      </c>
      <c r="C403" s="47">
        <f>30/3*2</f>
        <v>20</v>
      </c>
      <c r="D403" s="91">
        <v>0.28999999999999998</v>
      </c>
      <c r="E403" s="94">
        <f>0.58/3*2</f>
        <v>0.38666666666666666</v>
      </c>
      <c r="F403" s="96">
        <v>0.68</v>
      </c>
      <c r="G403" s="90">
        <f>1.36/3*2</f>
        <v>0.90666666666666673</v>
      </c>
      <c r="H403" s="88">
        <v>1.99</v>
      </c>
      <c r="I403" s="89">
        <f>3.98/3*2</f>
        <v>2.6533333333333333</v>
      </c>
      <c r="J403" s="94">
        <v>15.2</v>
      </c>
      <c r="K403" s="92">
        <f>30.4/3*2</f>
        <v>20.266666666666666</v>
      </c>
      <c r="L403" s="91">
        <v>0.05</v>
      </c>
      <c r="M403" s="89">
        <f>0.1/3*2</f>
        <v>6.6666666666666666E-2</v>
      </c>
      <c r="N403" s="44">
        <v>369</v>
      </c>
      <c r="O403" s="250"/>
    </row>
    <row r="404" spans="1:16" ht="16.5" thickBot="1" x14ac:dyDescent="0.3">
      <c r="A404" s="261" t="s">
        <v>76</v>
      </c>
      <c r="B404" s="413" t="s">
        <v>15</v>
      </c>
      <c r="C404" s="40" t="s">
        <v>16</v>
      </c>
      <c r="D404" s="282">
        <v>0.04</v>
      </c>
      <c r="E404" s="57">
        <v>7.0000000000000007E-2</v>
      </c>
      <c r="F404" s="418">
        <v>0.01</v>
      </c>
      <c r="G404" s="56">
        <v>0.02</v>
      </c>
      <c r="H404" s="55">
        <v>6.99</v>
      </c>
      <c r="I404" s="58">
        <v>11.1</v>
      </c>
      <c r="J404" s="57">
        <v>28</v>
      </c>
      <c r="K404" s="281">
        <v>44.44</v>
      </c>
      <c r="L404" s="282">
        <v>0.02</v>
      </c>
      <c r="M404" s="58">
        <v>0.03</v>
      </c>
      <c r="N404" s="43" t="s">
        <v>17</v>
      </c>
      <c r="O404" s="251"/>
    </row>
    <row r="405" spans="1:16" ht="0.75" customHeight="1" thickBot="1" x14ac:dyDescent="0.3">
      <c r="A405" s="290"/>
      <c r="B405" s="424">
        <f>SUM(B402:B404)+157</f>
        <v>242</v>
      </c>
      <c r="C405" s="336">
        <f>SUM(C402:C404)+210</f>
        <v>320</v>
      </c>
      <c r="D405" s="339">
        <f t="shared" ref="D405:M405" si="34">SUM(D402:D404)</f>
        <v>10.34</v>
      </c>
      <c r="E405" s="341">
        <f t="shared" si="34"/>
        <v>12.756666666666668</v>
      </c>
      <c r="F405" s="425">
        <f t="shared" si="34"/>
        <v>7.339999999999999</v>
      </c>
      <c r="G405" s="340">
        <f t="shared" si="34"/>
        <v>9.1466666666666665</v>
      </c>
      <c r="H405" s="337">
        <f t="shared" si="34"/>
        <v>24.240000000000002</v>
      </c>
      <c r="I405" s="342">
        <f t="shared" si="34"/>
        <v>31.873333333333328</v>
      </c>
      <c r="J405" s="341">
        <f t="shared" si="34"/>
        <v>208.89</v>
      </c>
      <c r="K405" s="338">
        <f t="shared" si="34"/>
        <v>269.18666666666667</v>
      </c>
      <c r="L405" s="339">
        <f t="shared" si="34"/>
        <v>7.0000000000000007E-2</v>
      </c>
      <c r="M405" s="342">
        <f t="shared" si="34"/>
        <v>9.6666666666666665E-2</v>
      </c>
      <c r="N405" s="183"/>
      <c r="O405" s="333"/>
    </row>
    <row r="406" spans="1:16" ht="15.75" hidden="1" x14ac:dyDescent="0.25">
      <c r="A406" s="262"/>
      <c r="B406" s="245"/>
      <c r="C406" s="127"/>
      <c r="D406" s="120"/>
      <c r="E406" s="129"/>
      <c r="F406" s="410"/>
      <c r="G406" s="128"/>
      <c r="H406" s="119"/>
      <c r="I406" s="178"/>
      <c r="J406" s="129"/>
      <c r="K406" s="372"/>
      <c r="L406" s="120"/>
      <c r="M406" s="178"/>
      <c r="N406" s="130"/>
      <c r="O406" s="252"/>
    </row>
    <row r="407" spans="1:16" ht="17.25" hidden="1" thickTop="1" thickBot="1" x14ac:dyDescent="0.3">
      <c r="A407" s="432" t="s">
        <v>46</v>
      </c>
      <c r="B407" s="195">
        <f t="shared" ref="B407:M407" si="35">B389+B391+B400+B405</f>
        <v>1232</v>
      </c>
      <c r="C407" s="194">
        <f t="shared" si="35"/>
        <v>1585</v>
      </c>
      <c r="D407" s="196">
        <f t="shared" si="35"/>
        <v>37.602000000000004</v>
      </c>
      <c r="E407" s="430">
        <f t="shared" si="35"/>
        <v>93.366666666666674</v>
      </c>
      <c r="F407" s="196">
        <f t="shared" si="35"/>
        <v>31.986666666666665</v>
      </c>
      <c r="G407" s="359">
        <f t="shared" si="35"/>
        <v>40.993333333333332</v>
      </c>
      <c r="H407" s="358">
        <f t="shared" si="35"/>
        <v>156.059</v>
      </c>
      <c r="I407" s="359">
        <f t="shared" si="35"/>
        <v>196.76833333333332</v>
      </c>
      <c r="J407" s="358">
        <f t="shared" si="35"/>
        <v>1069.155641025641</v>
      </c>
      <c r="K407" s="430">
        <f t="shared" si="35"/>
        <v>1360.6220000000001</v>
      </c>
      <c r="L407" s="196">
        <f t="shared" si="35"/>
        <v>15.835666666666665</v>
      </c>
      <c r="M407" s="359">
        <f t="shared" si="35"/>
        <v>24.461666666666662</v>
      </c>
      <c r="N407" s="197"/>
      <c r="O407" s="457"/>
    </row>
    <row r="408" spans="1:16" ht="15.75" hidden="1" x14ac:dyDescent="0.25">
      <c r="A408" s="136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</row>
    <row r="409" spans="1:16" ht="15.75" hidden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</row>
    <row r="410" spans="1:16" ht="15.75" hidden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</row>
    <row r="411" spans="1:16" ht="15.75" hidden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"/>
    </row>
    <row r="412" spans="1:16" s="1" customFormat="1" ht="15.75" hidden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</row>
    <row r="413" spans="1:16" ht="15.75" hidden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"/>
    </row>
    <row r="414" spans="1:16" s="1" customFormat="1" ht="15.75" hidden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</row>
    <row r="415" spans="1:16" ht="15.75" hidden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"/>
    </row>
    <row r="416" spans="1:16" ht="15.75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"/>
    </row>
    <row r="417" spans="1:16" ht="15.75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"/>
    </row>
    <row r="418" spans="1:16" ht="15.75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"/>
    </row>
    <row r="419" spans="1:16" ht="15.75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"/>
    </row>
    <row r="420" spans="1:16" ht="15.75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"/>
    </row>
    <row r="421" spans="1:16" ht="15.75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"/>
    </row>
    <row r="422" spans="1:16" ht="15.75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"/>
    </row>
    <row r="423" spans="1:16" s="1" customFormat="1" ht="15.75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</row>
    <row r="424" spans="1:16" s="1" customFormat="1" ht="15.75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</row>
    <row r="425" spans="1:16" s="1" customFormat="1" ht="15.75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</row>
    <row r="426" spans="1:16" s="1" customFormat="1" ht="15.75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</row>
    <row r="427" spans="1:16" ht="15.75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"/>
    </row>
    <row r="428" spans="1:16" ht="15.75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"/>
    </row>
    <row r="429" spans="1:16" s="1" customFormat="1" ht="15.75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</row>
    <row r="430" spans="1:16" s="1" customFormat="1" ht="15.75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</row>
    <row r="431" spans="1:16" ht="15.75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"/>
    </row>
    <row r="432" spans="1:16" ht="15.75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"/>
    </row>
    <row r="433" spans="1:16" ht="15.75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"/>
    </row>
    <row r="434" spans="1:16" ht="15.75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"/>
    </row>
    <row r="435" spans="1:16" ht="15.75" x14ac:dyDescent="0.25">
      <c r="A435" s="12" t="s">
        <v>103</v>
      </c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"/>
    </row>
    <row r="436" spans="1:16" ht="15.75" x14ac:dyDescent="0.25">
      <c r="A436" s="12" t="s">
        <v>102</v>
      </c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"/>
    </row>
    <row r="437" spans="1:16" ht="15.75" x14ac:dyDescent="0.25">
      <c r="A437" s="14"/>
      <c r="B437" s="12" t="s">
        <v>47</v>
      </c>
      <c r="C437" s="12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"/>
    </row>
    <row r="438" spans="1:16" ht="16.5" thickBot="1" x14ac:dyDescent="0.3">
      <c r="A438" s="14"/>
      <c r="B438" s="12"/>
      <c r="C438" s="12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"/>
    </row>
    <row r="439" spans="1:16" ht="16.5" thickTop="1" x14ac:dyDescent="0.25">
      <c r="A439" s="212" t="s">
        <v>3</v>
      </c>
      <c r="B439" s="490" t="s">
        <v>4</v>
      </c>
      <c r="C439" s="490"/>
      <c r="D439" s="493" t="s">
        <v>5</v>
      </c>
      <c r="E439" s="494"/>
      <c r="F439" s="492" t="s">
        <v>6</v>
      </c>
      <c r="G439" s="492"/>
      <c r="H439" s="493" t="s">
        <v>62</v>
      </c>
      <c r="I439" s="494"/>
      <c r="J439" s="492" t="s">
        <v>7</v>
      </c>
      <c r="K439" s="506"/>
      <c r="L439" s="493" t="s">
        <v>72</v>
      </c>
      <c r="M439" s="505"/>
      <c r="N439" s="406" t="s">
        <v>8</v>
      </c>
      <c r="O439" s="315" t="s">
        <v>8</v>
      </c>
      <c r="P439" s="1"/>
    </row>
    <row r="440" spans="1:16" ht="16.5" thickBot="1" x14ac:dyDescent="0.3">
      <c r="A440" s="213"/>
      <c r="B440" s="495" t="s">
        <v>9</v>
      </c>
      <c r="C440" s="489"/>
      <c r="D440" s="495" t="s">
        <v>9</v>
      </c>
      <c r="E440" s="496"/>
      <c r="F440" s="489" t="s">
        <v>9</v>
      </c>
      <c r="G440" s="489"/>
      <c r="H440" s="495" t="s">
        <v>9</v>
      </c>
      <c r="I440" s="496"/>
      <c r="J440" s="79"/>
      <c r="K440" s="150"/>
      <c r="L440" s="495" t="s">
        <v>10</v>
      </c>
      <c r="M440" s="503"/>
      <c r="N440" s="22" t="s">
        <v>11</v>
      </c>
      <c r="O440" s="316" t="s">
        <v>11</v>
      </c>
      <c r="P440" s="1"/>
    </row>
    <row r="441" spans="1:16" s="1" customFormat="1" ht="16.5" thickBot="1" x14ac:dyDescent="0.3">
      <c r="A441" s="213"/>
      <c r="B441" s="471" t="s">
        <v>12</v>
      </c>
      <c r="C441" s="151" t="s">
        <v>13</v>
      </c>
      <c r="D441" s="152" t="s">
        <v>12</v>
      </c>
      <c r="E441" s="470" t="s">
        <v>13</v>
      </c>
      <c r="F441" s="471" t="s">
        <v>12</v>
      </c>
      <c r="G441" s="151" t="s">
        <v>13</v>
      </c>
      <c r="H441" s="152" t="s">
        <v>12</v>
      </c>
      <c r="I441" s="470" t="s">
        <v>13</v>
      </c>
      <c r="J441" s="153" t="s">
        <v>12</v>
      </c>
      <c r="K441" s="151" t="s">
        <v>13</v>
      </c>
      <c r="L441" s="139" t="s">
        <v>12</v>
      </c>
      <c r="M441" s="140" t="s">
        <v>13</v>
      </c>
      <c r="N441" s="110"/>
      <c r="O441" s="206"/>
    </row>
    <row r="442" spans="1:16" ht="15.75" x14ac:dyDescent="0.25">
      <c r="A442" s="215" t="s">
        <v>14</v>
      </c>
      <c r="B442" s="80"/>
      <c r="C442" s="173"/>
      <c r="D442" s="460"/>
      <c r="E442" s="29"/>
      <c r="F442" s="83"/>
      <c r="G442" s="84"/>
      <c r="H442" s="30"/>
      <c r="I442" s="31"/>
      <c r="J442" s="272"/>
      <c r="K442" s="84"/>
      <c r="L442" s="85"/>
      <c r="M442" s="36"/>
      <c r="N442" s="145"/>
      <c r="O442" s="199"/>
      <c r="P442" s="1"/>
    </row>
    <row r="443" spans="1:16" s="1" customFormat="1" ht="15.75" x14ac:dyDescent="0.25">
      <c r="A443" s="256" t="s">
        <v>92</v>
      </c>
      <c r="B443" s="46">
        <v>150</v>
      </c>
      <c r="C443" s="61">
        <v>200</v>
      </c>
      <c r="D443" s="91">
        <v>3.3</v>
      </c>
      <c r="E443" s="90">
        <v>4.4000000000000004</v>
      </c>
      <c r="F443" s="88">
        <v>6.15</v>
      </c>
      <c r="G443" s="92">
        <v>8.1999999999999993</v>
      </c>
      <c r="H443" s="91">
        <v>23.15</v>
      </c>
      <c r="I443" s="90">
        <v>28.2</v>
      </c>
      <c r="J443" s="94">
        <v>157.19999999999999</v>
      </c>
      <c r="K443" s="92">
        <v>209.6</v>
      </c>
      <c r="L443" s="91"/>
      <c r="M443" s="90"/>
      <c r="N443" s="44"/>
      <c r="O443" s="200">
        <v>96</v>
      </c>
    </row>
    <row r="444" spans="1:16" ht="15.75" x14ac:dyDescent="0.25">
      <c r="A444" s="217" t="s">
        <v>76</v>
      </c>
      <c r="B444" s="46" t="s">
        <v>88</v>
      </c>
      <c r="C444" s="61" t="s">
        <v>71</v>
      </c>
      <c r="D444" s="91">
        <f>0.04/15*16</f>
        <v>4.2666666666666665E-2</v>
      </c>
      <c r="E444" s="90">
        <f>0.07/2*1.8</f>
        <v>6.3000000000000014E-2</v>
      </c>
      <c r="F444" s="88">
        <f>0.01/15*16</f>
        <v>1.0666666666666666E-2</v>
      </c>
      <c r="G444" s="92">
        <f>0.02/2*1.8</f>
        <v>1.8000000000000002E-2</v>
      </c>
      <c r="H444" s="91">
        <f>6.99/15*16</f>
        <v>7.4560000000000004</v>
      </c>
      <c r="I444" s="90">
        <f>11.1/2*1.8</f>
        <v>9.99</v>
      </c>
      <c r="J444" s="94">
        <f>28/15*16</f>
        <v>29.866666666666667</v>
      </c>
      <c r="K444" s="92">
        <f>44.44/2*1.8</f>
        <v>39.996000000000002</v>
      </c>
      <c r="L444" s="91">
        <f>0.02/15*16</f>
        <v>2.1333333333333333E-2</v>
      </c>
      <c r="M444" s="90">
        <f>0.03/2*1.8</f>
        <v>2.7E-2</v>
      </c>
      <c r="N444" s="44" t="s">
        <v>17</v>
      </c>
      <c r="O444" s="200"/>
      <c r="P444" s="1"/>
    </row>
    <row r="445" spans="1:16" ht="16.5" thickBot="1" x14ac:dyDescent="0.3">
      <c r="A445" s="221" t="s">
        <v>93</v>
      </c>
      <c r="B445" s="97">
        <f>30/6*7</f>
        <v>35</v>
      </c>
      <c r="C445" s="148">
        <v>40</v>
      </c>
      <c r="D445" s="325">
        <f>(4.73-0.04)/4*3/6*7</f>
        <v>4.1037500000000007</v>
      </c>
      <c r="E445" s="102">
        <v>4.6900000000000004</v>
      </c>
      <c r="F445" s="101">
        <f>(6.88-3.625)/4*3/6*7</f>
        <v>2.8481250000000005</v>
      </c>
      <c r="G445" s="450">
        <v>3.2549999999999999</v>
      </c>
      <c r="H445" s="325">
        <f>(14.56-0.065)/4*3/6*7</f>
        <v>12.683124999999999</v>
      </c>
      <c r="I445" s="102">
        <v>14.494999999999999</v>
      </c>
      <c r="J445" s="324">
        <f>(139-33)/4*3/6*7</f>
        <v>92.75</v>
      </c>
      <c r="K445" s="450">
        <v>106</v>
      </c>
      <c r="L445" s="325">
        <f>0.07/6*7</f>
        <v>8.1666666666666665E-2</v>
      </c>
      <c r="M445" s="105">
        <v>7.0000000000000007E-2</v>
      </c>
      <c r="N445" s="105">
        <v>3</v>
      </c>
      <c r="O445" s="473"/>
      <c r="P445" s="1"/>
    </row>
    <row r="446" spans="1:16" s="1" customFormat="1" ht="16.5" thickBot="1" x14ac:dyDescent="0.3">
      <c r="A446" s="214"/>
      <c r="B446" s="311">
        <f>SUM(B443:B445)+167</f>
        <v>352</v>
      </c>
      <c r="C446" s="314">
        <f>SUM(C443:C445)+210</f>
        <v>450</v>
      </c>
      <c r="D446" s="339">
        <f t="shared" ref="D446:M446" si="36">SUM(D443:D445)</f>
        <v>7.4464166666666678</v>
      </c>
      <c r="E446" s="342">
        <f t="shared" si="36"/>
        <v>9.1530000000000005</v>
      </c>
      <c r="F446" s="337">
        <f t="shared" si="36"/>
        <v>9.0087916666666672</v>
      </c>
      <c r="G446" s="341">
        <f t="shared" si="36"/>
        <v>11.472999999999999</v>
      </c>
      <c r="H446" s="339">
        <f t="shared" si="36"/>
        <v>43.289124999999999</v>
      </c>
      <c r="I446" s="342">
        <f t="shared" si="36"/>
        <v>52.684999999999995</v>
      </c>
      <c r="J446" s="341">
        <f t="shared" si="36"/>
        <v>279.81666666666666</v>
      </c>
      <c r="K446" s="338">
        <f t="shared" si="36"/>
        <v>355.596</v>
      </c>
      <c r="L446" s="339">
        <f t="shared" si="36"/>
        <v>0.10299999999999999</v>
      </c>
      <c r="M446" s="342">
        <f t="shared" si="36"/>
        <v>9.7000000000000003E-2</v>
      </c>
      <c r="N446" s="183"/>
      <c r="O446" s="198"/>
    </row>
    <row r="447" spans="1:16" s="1" customFormat="1" ht="16.5" thickBot="1" x14ac:dyDescent="0.3">
      <c r="A447" s="474" t="s">
        <v>18</v>
      </c>
      <c r="B447" s="39"/>
      <c r="C447" s="41"/>
      <c r="D447" s="282"/>
      <c r="E447" s="58"/>
      <c r="F447" s="55"/>
      <c r="G447" s="57"/>
      <c r="H447" s="282"/>
      <c r="I447" s="58"/>
      <c r="J447" s="57"/>
      <c r="K447" s="281"/>
      <c r="L447" s="282"/>
      <c r="M447" s="58"/>
      <c r="N447" s="43"/>
      <c r="O447" s="250"/>
    </row>
    <row r="448" spans="1:16" ht="16.5" thickBot="1" x14ac:dyDescent="0.3">
      <c r="A448" s="290" t="s">
        <v>111</v>
      </c>
      <c r="B448" s="311">
        <v>100</v>
      </c>
      <c r="C448" s="312">
        <v>100</v>
      </c>
      <c r="D448" s="339">
        <v>0.4</v>
      </c>
      <c r="E448" s="340">
        <v>0.4</v>
      </c>
      <c r="F448" s="337">
        <v>0.4</v>
      </c>
      <c r="G448" s="338">
        <v>0.4</v>
      </c>
      <c r="H448" s="339">
        <v>9.8000000000000007</v>
      </c>
      <c r="I448" s="342">
        <v>9.8000000000000007</v>
      </c>
      <c r="J448" s="341">
        <v>44</v>
      </c>
      <c r="K448" s="338">
        <v>44</v>
      </c>
      <c r="L448" s="339">
        <v>10</v>
      </c>
      <c r="M448" s="340">
        <v>10</v>
      </c>
      <c r="N448" s="330">
        <v>386</v>
      </c>
      <c r="O448" s="467"/>
      <c r="P448" s="1"/>
    </row>
    <row r="449" spans="1:16" ht="15.75" x14ac:dyDescent="0.25">
      <c r="A449" s="219" t="s">
        <v>19</v>
      </c>
      <c r="B449" s="121"/>
      <c r="C449" s="86"/>
      <c r="D449" s="157"/>
      <c r="E449" s="126"/>
      <c r="F449" s="123"/>
      <c r="G449" s="125"/>
      <c r="H449" s="157"/>
      <c r="I449" s="126"/>
      <c r="J449" s="125"/>
      <c r="K449" s="156"/>
      <c r="L449" s="157"/>
      <c r="M449" s="126"/>
      <c r="N449" s="145"/>
      <c r="O449" s="199"/>
      <c r="P449" s="1"/>
    </row>
    <row r="450" spans="1:16" ht="15.75" x14ac:dyDescent="0.25">
      <c r="A450" s="216" t="s">
        <v>130</v>
      </c>
      <c r="B450" s="46">
        <v>30</v>
      </c>
      <c r="C450" s="44">
        <f>60/6*5</f>
        <v>50</v>
      </c>
      <c r="D450" s="88">
        <v>0.34</v>
      </c>
      <c r="E450" s="89">
        <f>0.68/6*5</f>
        <v>0.56666666666666665</v>
      </c>
      <c r="F450" s="88">
        <f>3.71/2</f>
        <v>1.855</v>
      </c>
      <c r="G450" s="89">
        <f>3.71/6*5</f>
        <v>3.0916666666666663</v>
      </c>
      <c r="H450" s="88">
        <f>2.83/2</f>
        <v>1.415</v>
      </c>
      <c r="I450" s="89">
        <f>2.83/6*5</f>
        <v>2.3583333333333334</v>
      </c>
      <c r="J450" s="91">
        <v>16</v>
      </c>
      <c r="K450" s="89">
        <f>47/6*5</f>
        <v>39.166666666666664</v>
      </c>
      <c r="L450" s="88">
        <f>12.25/2</f>
        <v>6.125</v>
      </c>
      <c r="M450" s="89">
        <f>12.25/6*5</f>
        <v>10.208333333333332</v>
      </c>
      <c r="N450" s="482">
        <v>14</v>
      </c>
      <c r="O450" s="200"/>
    </row>
    <row r="451" spans="1:16" ht="15.75" x14ac:dyDescent="0.25">
      <c r="A451" s="216" t="s">
        <v>55</v>
      </c>
      <c r="B451" s="114">
        <v>150</v>
      </c>
      <c r="C451" s="169">
        <v>200</v>
      </c>
      <c r="D451" s="91">
        <v>1.0900000000000001</v>
      </c>
      <c r="E451" s="89">
        <v>1.45</v>
      </c>
      <c r="F451" s="88">
        <v>2.95</v>
      </c>
      <c r="G451" s="94">
        <v>3.93</v>
      </c>
      <c r="H451" s="91">
        <v>7.65</v>
      </c>
      <c r="I451" s="90">
        <v>10.19</v>
      </c>
      <c r="J451" s="94">
        <v>61.5</v>
      </c>
      <c r="K451" s="92">
        <v>82</v>
      </c>
      <c r="L451" s="91">
        <v>6.17</v>
      </c>
      <c r="M451" s="90">
        <v>8.23</v>
      </c>
      <c r="N451" s="44" t="s">
        <v>56</v>
      </c>
      <c r="O451" s="202"/>
    </row>
    <row r="452" spans="1:16" ht="15.75" x14ac:dyDescent="0.25">
      <c r="A452" s="216" t="s">
        <v>64</v>
      </c>
      <c r="B452" s="64">
        <f>60/6*5</f>
        <v>50</v>
      </c>
      <c r="C452" s="269">
        <f>80/8*7</f>
        <v>70</v>
      </c>
      <c r="D452" s="242">
        <f>6.26/6*5</f>
        <v>5.2166666666666659</v>
      </c>
      <c r="E452" s="116">
        <f>8.33/8*7</f>
        <v>7.2887500000000003</v>
      </c>
      <c r="F452" s="115">
        <f>19.3/6*5</f>
        <v>16.083333333333336</v>
      </c>
      <c r="G452" s="394">
        <f>25.63/8*7</f>
        <v>22.42625</v>
      </c>
      <c r="H452" s="242">
        <f>8.97/6*5</f>
        <v>7.4750000000000005</v>
      </c>
      <c r="I452" s="118">
        <f>11.64/8*7</f>
        <v>10.185</v>
      </c>
      <c r="J452" s="117">
        <f>235/6*5</f>
        <v>195.83333333333331</v>
      </c>
      <c r="K452" s="394">
        <f>311/8*7</f>
        <v>272.125</v>
      </c>
      <c r="L452" s="242"/>
      <c r="M452" s="116"/>
      <c r="N452" s="54">
        <v>299</v>
      </c>
      <c r="O452" s="202"/>
    </row>
    <row r="453" spans="1:16" ht="15.75" x14ac:dyDescent="0.25">
      <c r="A453" s="217" t="s">
        <v>79</v>
      </c>
      <c r="B453" s="46">
        <f>120/12*10</f>
        <v>100</v>
      </c>
      <c r="C453" s="74">
        <f>150/15*12</f>
        <v>120</v>
      </c>
      <c r="D453" s="120">
        <f>2.45/12*10</f>
        <v>2.041666666666667</v>
      </c>
      <c r="E453" s="89">
        <f>3.06/15*12</f>
        <v>2.4480000000000004</v>
      </c>
      <c r="F453" s="88">
        <f>3.84/12*10</f>
        <v>3.2</v>
      </c>
      <c r="G453" s="94">
        <f>4.8/15*12</f>
        <v>3.84</v>
      </c>
      <c r="H453" s="120">
        <f>16.35/12*10</f>
        <v>13.625</v>
      </c>
      <c r="I453" s="89">
        <f>20.44/15*12</f>
        <v>16.352</v>
      </c>
      <c r="J453" s="94">
        <f>110/12*10</f>
        <v>91.666666666666657</v>
      </c>
      <c r="K453" s="92">
        <f>137/15*12</f>
        <v>109.6</v>
      </c>
      <c r="L453" s="50">
        <f>14.53/12*10</f>
        <v>12.108333333333333</v>
      </c>
      <c r="M453" s="51">
        <f>18.16/15*12</f>
        <v>14.528000000000002</v>
      </c>
      <c r="N453" s="51">
        <v>339</v>
      </c>
      <c r="O453" s="475"/>
    </row>
    <row r="454" spans="1:16" ht="15.75" x14ac:dyDescent="0.25">
      <c r="A454" s="217" t="s">
        <v>80</v>
      </c>
      <c r="B454" s="48">
        <v>15</v>
      </c>
      <c r="C454" s="49">
        <f>30/3*2</f>
        <v>20</v>
      </c>
      <c r="D454" s="50">
        <v>0.01</v>
      </c>
      <c r="E454" s="51">
        <f>0.18/3*2</f>
        <v>0.12</v>
      </c>
      <c r="F454" s="52">
        <v>0.53</v>
      </c>
      <c r="G454" s="53">
        <f>1.05/3*2</f>
        <v>0.70000000000000007</v>
      </c>
      <c r="H454" s="50">
        <v>0.55000000000000004</v>
      </c>
      <c r="I454" s="51">
        <f>1.1/3*2</f>
        <v>0.73333333333333339</v>
      </c>
      <c r="J454" s="53">
        <v>7</v>
      </c>
      <c r="K454" s="142">
        <f>15/3*2</f>
        <v>10</v>
      </c>
      <c r="L454" s="50">
        <v>0.04</v>
      </c>
      <c r="M454" s="51">
        <f>0.08/3*2</f>
        <v>5.3333333333333337E-2</v>
      </c>
      <c r="N454" s="51">
        <v>365</v>
      </c>
      <c r="O454" s="155"/>
    </row>
    <row r="455" spans="1:16" ht="15.75" x14ac:dyDescent="0.25">
      <c r="A455" s="217" t="s">
        <v>120</v>
      </c>
      <c r="B455" s="48">
        <v>150</v>
      </c>
      <c r="C455" s="49">
        <v>200</v>
      </c>
      <c r="D455" s="50">
        <v>0.14399999999999999</v>
      </c>
      <c r="E455" s="51">
        <v>0.44</v>
      </c>
      <c r="F455" s="52">
        <v>0.14399999999999999</v>
      </c>
      <c r="G455" s="53">
        <v>0.192</v>
      </c>
      <c r="H455" s="50">
        <v>17.91</v>
      </c>
      <c r="I455" s="51">
        <v>23.88</v>
      </c>
      <c r="J455" s="53">
        <v>73.2</v>
      </c>
      <c r="K455" s="142">
        <v>97.6</v>
      </c>
      <c r="L455" s="50">
        <v>1.64</v>
      </c>
      <c r="M455" s="51">
        <v>2.2799999999999998</v>
      </c>
      <c r="N455" s="54">
        <v>390</v>
      </c>
      <c r="O455" s="247"/>
    </row>
    <row r="456" spans="1:16" ht="16.5" thickBot="1" x14ac:dyDescent="0.3">
      <c r="A456" s="221" t="s">
        <v>21</v>
      </c>
      <c r="B456" s="69">
        <v>30</v>
      </c>
      <c r="C456" s="276">
        <v>40</v>
      </c>
      <c r="D456" s="177">
        <v>1.98</v>
      </c>
      <c r="E456" s="179">
        <v>2.64</v>
      </c>
      <c r="F456" s="176">
        <v>0.36</v>
      </c>
      <c r="G456" s="373">
        <v>0.48</v>
      </c>
      <c r="H456" s="177">
        <v>10.02</v>
      </c>
      <c r="I456" s="353">
        <v>13.36</v>
      </c>
      <c r="J456" s="181">
        <v>52.2</v>
      </c>
      <c r="K456" s="373">
        <v>69.599999999999994</v>
      </c>
      <c r="L456" s="177"/>
      <c r="M456" s="179"/>
      <c r="N456" s="75"/>
      <c r="O456" s="251"/>
    </row>
    <row r="457" spans="1:16" ht="16.5" thickBot="1" x14ac:dyDescent="0.3">
      <c r="A457" s="290"/>
      <c r="B457" s="279">
        <f t="shared" ref="B457:L457" si="37">SUM(B450:B456)</f>
        <v>525</v>
      </c>
      <c r="C457" s="280">
        <f t="shared" si="37"/>
        <v>700</v>
      </c>
      <c r="D457" s="306">
        <f t="shared" si="37"/>
        <v>10.822333333333333</v>
      </c>
      <c r="E457" s="307">
        <f t="shared" si="37"/>
        <v>14.953416666666666</v>
      </c>
      <c r="F457" s="304">
        <f t="shared" si="37"/>
        <v>25.122333333333334</v>
      </c>
      <c r="G457" s="371">
        <f t="shared" si="37"/>
        <v>34.65991666666666</v>
      </c>
      <c r="H457" s="306">
        <f t="shared" si="37"/>
        <v>58.644999999999996</v>
      </c>
      <c r="I457" s="307">
        <f t="shared" si="37"/>
        <v>77.058666666666667</v>
      </c>
      <c r="J457" s="371">
        <f t="shared" si="37"/>
        <v>497.4</v>
      </c>
      <c r="K457" s="451">
        <f t="shared" si="37"/>
        <v>680.0916666666667</v>
      </c>
      <c r="L457" s="306">
        <f t="shared" si="37"/>
        <v>26.083333333333332</v>
      </c>
      <c r="M457" s="472"/>
      <c r="N457" s="308"/>
      <c r="O457" s="333"/>
    </row>
    <row r="458" spans="1:16" ht="15.75" x14ac:dyDescent="0.25">
      <c r="A458" s="219" t="s">
        <v>22</v>
      </c>
      <c r="B458" s="121"/>
      <c r="C458" s="244"/>
      <c r="D458" s="157"/>
      <c r="E458" s="124"/>
      <c r="F458" s="123"/>
      <c r="G458" s="125"/>
      <c r="H458" s="157"/>
      <c r="I458" s="124"/>
      <c r="J458" s="125"/>
      <c r="K458" s="156"/>
      <c r="L458" s="242"/>
      <c r="M458" s="118"/>
      <c r="N458" s="67"/>
      <c r="O458" s="203"/>
    </row>
    <row r="459" spans="1:16" ht="15.75" x14ac:dyDescent="0.25">
      <c r="A459" s="216" t="s">
        <v>121</v>
      </c>
      <c r="B459" s="46">
        <f>70/7*5</f>
        <v>50</v>
      </c>
      <c r="C459" s="74">
        <v>55</v>
      </c>
      <c r="D459" s="91">
        <f>4.46/7*5</f>
        <v>3.1857142857142855</v>
      </c>
      <c r="E459" s="89">
        <f>3.19/10*11</f>
        <v>3.5089999999999999</v>
      </c>
      <c r="F459" s="88">
        <f>2.98/7*5</f>
        <v>2.1285714285714286</v>
      </c>
      <c r="G459" s="94">
        <f>2.13/10*11</f>
        <v>2.343</v>
      </c>
      <c r="H459" s="91">
        <f>44.12/7*5</f>
        <v>31.514285714285712</v>
      </c>
      <c r="I459" s="89">
        <f>31.51/10*11</f>
        <v>34.661000000000001</v>
      </c>
      <c r="J459" s="94">
        <f>222/7*5</f>
        <v>158.57142857142858</v>
      </c>
      <c r="K459" s="92">
        <f>158.57/10*11</f>
        <v>174.42699999999999</v>
      </c>
      <c r="L459" s="91">
        <v>0.08</v>
      </c>
      <c r="M459" s="90">
        <f>0.08/10*11</f>
        <v>8.7999999999999995E-2</v>
      </c>
      <c r="N459" s="44">
        <v>441</v>
      </c>
      <c r="O459" s="202"/>
    </row>
    <row r="460" spans="1:16" ht="16.5" thickBot="1" x14ac:dyDescent="0.3">
      <c r="A460" s="221" t="s">
        <v>113</v>
      </c>
      <c r="B460" s="97">
        <v>150</v>
      </c>
      <c r="C460" s="98">
        <v>180</v>
      </c>
      <c r="D460" s="325">
        <v>4.58</v>
      </c>
      <c r="E460" s="105">
        <f>6.09/2*1.8</f>
        <v>5.4809999999999999</v>
      </c>
      <c r="F460" s="101">
        <v>4.08</v>
      </c>
      <c r="G460" s="324">
        <f>5.42/2*1.8</f>
        <v>4.8780000000000001</v>
      </c>
      <c r="H460" s="325">
        <v>7.58</v>
      </c>
      <c r="I460" s="105">
        <f>10.08/2*1.8</f>
        <v>9.072000000000001</v>
      </c>
      <c r="J460" s="324">
        <v>85</v>
      </c>
      <c r="K460" s="450">
        <f>113.33/2*1.8</f>
        <v>101.997</v>
      </c>
      <c r="L460" s="325">
        <v>2.0499999999999998</v>
      </c>
      <c r="M460" s="105">
        <v>2.73</v>
      </c>
      <c r="N460" s="105">
        <v>419</v>
      </c>
      <c r="O460" s="473"/>
    </row>
    <row r="461" spans="1:16" ht="16.5" thickBot="1" x14ac:dyDescent="0.3">
      <c r="A461" s="214"/>
      <c r="B461" s="311">
        <f t="shared" ref="B461:M461" si="38">SUM(B459:B460)</f>
        <v>200</v>
      </c>
      <c r="C461" s="314">
        <f t="shared" si="38"/>
        <v>235</v>
      </c>
      <c r="D461" s="339">
        <f t="shared" si="38"/>
        <v>7.7657142857142851</v>
      </c>
      <c r="E461" s="342">
        <f t="shared" si="38"/>
        <v>8.99</v>
      </c>
      <c r="F461" s="337">
        <f t="shared" si="38"/>
        <v>6.2085714285714282</v>
      </c>
      <c r="G461" s="341">
        <f t="shared" si="38"/>
        <v>7.2210000000000001</v>
      </c>
      <c r="H461" s="339">
        <f t="shared" si="38"/>
        <v>39.094285714285711</v>
      </c>
      <c r="I461" s="342">
        <f t="shared" si="38"/>
        <v>43.733000000000004</v>
      </c>
      <c r="J461" s="341">
        <f t="shared" si="38"/>
        <v>243.57142857142858</v>
      </c>
      <c r="K461" s="338">
        <f t="shared" si="38"/>
        <v>276.42399999999998</v>
      </c>
      <c r="L461" s="339">
        <f t="shared" si="38"/>
        <v>2.13</v>
      </c>
      <c r="M461" s="342">
        <f t="shared" si="38"/>
        <v>2.8180000000000001</v>
      </c>
      <c r="N461" s="183"/>
      <c r="O461" s="198"/>
    </row>
    <row r="462" spans="1:16" ht="16.5" thickBot="1" x14ac:dyDescent="0.3">
      <c r="A462" s="321"/>
      <c r="B462" s="108"/>
      <c r="C462" s="73"/>
      <c r="D462" s="120"/>
      <c r="E462" s="128"/>
      <c r="F462" s="119"/>
      <c r="G462" s="372"/>
      <c r="H462" s="120"/>
      <c r="I462" s="128"/>
      <c r="J462" s="129"/>
      <c r="K462" s="372"/>
      <c r="L462" s="120"/>
      <c r="M462" s="178"/>
      <c r="N462" s="130"/>
      <c r="O462" s="207"/>
    </row>
    <row r="463" spans="1:16" ht="17.25" thickTop="1" thickBot="1" x14ac:dyDescent="0.3">
      <c r="A463" s="223" t="s">
        <v>49</v>
      </c>
      <c r="B463" s="193">
        <f t="shared" ref="B463:M463" si="39">B446+B448+B457+B461</f>
        <v>1177</v>
      </c>
      <c r="C463" s="270">
        <f t="shared" si="39"/>
        <v>1485</v>
      </c>
      <c r="D463" s="196">
        <f t="shared" si="39"/>
        <v>26.434464285714288</v>
      </c>
      <c r="E463" s="359">
        <f t="shared" si="39"/>
        <v>33.496416666666669</v>
      </c>
      <c r="F463" s="358">
        <f t="shared" si="39"/>
        <v>40.739696428571435</v>
      </c>
      <c r="G463" s="430">
        <f t="shared" si="39"/>
        <v>53.753916666666655</v>
      </c>
      <c r="H463" s="196">
        <f t="shared" si="39"/>
        <v>150.8284107142857</v>
      </c>
      <c r="I463" s="359">
        <f t="shared" si="39"/>
        <v>183.27666666666667</v>
      </c>
      <c r="J463" s="358">
        <f t="shared" si="39"/>
        <v>1064.7880952380954</v>
      </c>
      <c r="K463" s="430">
        <f t="shared" si="39"/>
        <v>1356.1116666666667</v>
      </c>
      <c r="L463" s="196">
        <f t="shared" si="39"/>
        <v>38.316333333333333</v>
      </c>
      <c r="M463" s="359">
        <f t="shared" si="39"/>
        <v>12.914999999999999</v>
      </c>
      <c r="N463" s="197"/>
      <c r="O463" s="457"/>
    </row>
    <row r="464" spans="1:16" ht="16.5" thickTop="1" x14ac:dyDescent="0.25">
      <c r="A464" s="13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6"/>
      <c r="O464" s="16"/>
    </row>
    <row r="465" spans="1:15" ht="15.75" x14ac:dyDescent="0.25">
      <c r="A465" s="17"/>
      <c r="B465" s="16"/>
      <c r="C465" s="16"/>
      <c r="D465" s="16"/>
      <c r="E465" s="16"/>
      <c r="F465" s="16"/>
      <c r="G465" s="16"/>
      <c r="H465" s="18"/>
      <c r="I465" s="18"/>
      <c r="J465" s="18"/>
      <c r="K465" s="19"/>
      <c r="L465" s="19"/>
      <c r="M465" s="19"/>
      <c r="N465" s="16"/>
      <c r="O465" s="5"/>
    </row>
    <row r="466" spans="1:15" ht="15.75" x14ac:dyDescent="0.25">
      <c r="A466" s="10" t="s">
        <v>50</v>
      </c>
      <c r="B466" s="476">
        <f>SUM(B39+B76+B124+B168+B215+B261+B313+B362+B407+B463)</f>
        <v>12150</v>
      </c>
      <c r="C466" s="476">
        <f>SUM(C39+C76+C124+C168+C215+C261+C313+C362+C407+C463)</f>
        <v>15463</v>
      </c>
      <c r="D466" s="476">
        <f>SUM(D39+D76+D124+D168+D215+D261+D313+D362+D407+D463)</f>
        <v>311.61950274725274</v>
      </c>
      <c r="E466" s="476">
        <f>SUM(E39+E76+E124+E168+E215+E261+E313+E362+E407+E463)</f>
        <v>445.4992892156863</v>
      </c>
      <c r="F466" s="476">
        <f t="shared" ref="F466:M466" si="40">SUM(F463+F407+F362+F313+F261+F215+F168+F124+F76+F39)</f>
        <v>379.61036630036625</v>
      </c>
      <c r="G466" s="476">
        <f t="shared" si="40"/>
        <v>491.5272460784314</v>
      </c>
      <c r="H466" s="476">
        <f t="shared" si="40"/>
        <v>1493.5715164835162</v>
      </c>
      <c r="I466" s="476">
        <f t="shared" si="40"/>
        <v>1885.7681470588236</v>
      </c>
      <c r="J466" s="476">
        <f t="shared" si="40"/>
        <v>10716.902255494506</v>
      </c>
      <c r="K466" s="476">
        <f t="shared" si="40"/>
        <v>13617.784588235296</v>
      </c>
      <c r="L466" s="476">
        <f t="shared" si="40"/>
        <v>246.90671794871795</v>
      </c>
      <c r="M466" s="476">
        <f t="shared" si="40"/>
        <v>291.57073039215686</v>
      </c>
      <c r="N466" s="5"/>
      <c r="O466" s="5"/>
    </row>
    <row r="467" spans="1:15" ht="15.75" x14ac:dyDescent="0.25">
      <c r="A467" s="477"/>
      <c r="B467" s="478">
        <f>SUM(B466)/10</f>
        <v>1215</v>
      </c>
      <c r="C467" s="478">
        <f t="shared" ref="C467:D467" si="41">SUM(C466)/10</f>
        <v>1546.3</v>
      </c>
      <c r="D467" s="478">
        <f t="shared" si="41"/>
        <v>31.161950274725275</v>
      </c>
      <c r="E467" s="478">
        <f t="shared" ref="E467:M467" si="42">SUM(E466)/10</f>
        <v>44.549928921568629</v>
      </c>
      <c r="F467" s="478">
        <f t="shared" si="42"/>
        <v>37.961036630036624</v>
      </c>
      <c r="G467" s="478">
        <f t="shared" si="42"/>
        <v>49.15272460784314</v>
      </c>
      <c r="H467" s="478">
        <f t="shared" si="42"/>
        <v>149.35715164835162</v>
      </c>
      <c r="I467" s="478">
        <f t="shared" si="42"/>
        <v>188.57681470588236</v>
      </c>
      <c r="J467" s="478">
        <f t="shared" si="42"/>
        <v>1071.6902255494506</v>
      </c>
      <c r="K467" s="478">
        <f t="shared" si="42"/>
        <v>1361.7784588235295</v>
      </c>
      <c r="L467" s="478">
        <f t="shared" si="42"/>
        <v>24.690671794871797</v>
      </c>
      <c r="M467" s="478">
        <f t="shared" si="42"/>
        <v>29.157073039215685</v>
      </c>
      <c r="N467" s="5"/>
      <c r="O467" s="5"/>
    </row>
    <row r="468" spans="1: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</sheetData>
  <mergeCells count="111">
    <mergeCell ref="A9:L9"/>
    <mergeCell ref="B51:C51"/>
    <mergeCell ref="D51:E51"/>
    <mergeCell ref="F51:G51"/>
    <mergeCell ref="H51:I51"/>
    <mergeCell ref="J51:K51"/>
    <mergeCell ref="J14:K14"/>
    <mergeCell ref="L14:M14"/>
    <mergeCell ref="L15:M15"/>
    <mergeCell ref="L51:M51"/>
    <mergeCell ref="L440:M440"/>
    <mergeCell ref="J382:K382"/>
    <mergeCell ref="L382:M382"/>
    <mergeCell ref="L383:M383"/>
    <mergeCell ref="J439:K439"/>
    <mergeCell ref="L439:M439"/>
    <mergeCell ref="L337:M337"/>
    <mergeCell ref="L192:M192"/>
    <mergeCell ref="L336:M336"/>
    <mergeCell ref="J336:K336"/>
    <mergeCell ref="J237:K237"/>
    <mergeCell ref="L237:M237"/>
    <mergeCell ref="L238:M238"/>
    <mergeCell ref="L291:M291"/>
    <mergeCell ref="J290:K290"/>
    <mergeCell ref="L290:M290"/>
    <mergeCell ref="H144:I144"/>
    <mergeCell ref="H238:I238"/>
    <mergeCell ref="F238:G238"/>
    <mergeCell ref="D238:E238"/>
    <mergeCell ref="H290:I290"/>
    <mergeCell ref="F290:G290"/>
    <mergeCell ref="D290:E290"/>
    <mergeCell ref="H52:I52"/>
    <mergeCell ref="L52:M52"/>
    <mergeCell ref="L143:M143"/>
    <mergeCell ref="L144:M144"/>
    <mergeCell ref="J191:K191"/>
    <mergeCell ref="L191:M191"/>
    <mergeCell ref="J143:K143"/>
    <mergeCell ref="L99:M99"/>
    <mergeCell ref="L98:M98"/>
    <mergeCell ref="J98:K98"/>
    <mergeCell ref="D52:E52"/>
    <mergeCell ref="F52:G52"/>
    <mergeCell ref="F144:G144"/>
    <mergeCell ref="D144:E144"/>
    <mergeCell ref="D337:E337"/>
    <mergeCell ref="B238:C238"/>
    <mergeCell ref="H14:I14"/>
    <mergeCell ref="H15:I15"/>
    <mergeCell ref="B237:C237"/>
    <mergeCell ref="D237:E237"/>
    <mergeCell ref="F237:G237"/>
    <mergeCell ref="H237:I237"/>
    <mergeCell ref="B15:C15"/>
    <mergeCell ref="B14:C14"/>
    <mergeCell ref="D14:E14"/>
    <mergeCell ref="D15:E15"/>
    <mergeCell ref="F14:G14"/>
    <mergeCell ref="F15:G15"/>
    <mergeCell ref="B143:C143"/>
    <mergeCell ref="D143:E143"/>
    <mergeCell ref="F143:G143"/>
    <mergeCell ref="B52:C52"/>
    <mergeCell ref="H191:I191"/>
    <mergeCell ref="B192:C192"/>
    <mergeCell ref="D192:E192"/>
    <mergeCell ref="F192:G192"/>
    <mergeCell ref="H192:I192"/>
    <mergeCell ref="H143:I143"/>
    <mergeCell ref="B439:C439"/>
    <mergeCell ref="D439:E439"/>
    <mergeCell ref="F439:G439"/>
    <mergeCell ref="H440:I440"/>
    <mergeCell ref="F440:G440"/>
    <mergeCell ref="H439:I439"/>
    <mergeCell ref="D440:E440"/>
    <mergeCell ref="B440:C440"/>
    <mergeCell ref="B382:C382"/>
    <mergeCell ref="D382:E382"/>
    <mergeCell ref="F382:G382"/>
    <mergeCell ref="H382:I382"/>
    <mergeCell ref="H383:I383"/>
    <mergeCell ref="F383:G383"/>
    <mergeCell ref="D383:E383"/>
    <mergeCell ref="B383:C383"/>
    <mergeCell ref="B337:C337"/>
    <mergeCell ref="B98:C98"/>
    <mergeCell ref="D98:E98"/>
    <mergeCell ref="F98:G98"/>
    <mergeCell ref="H98:I98"/>
    <mergeCell ref="H99:I99"/>
    <mergeCell ref="F99:G99"/>
    <mergeCell ref="D99:E99"/>
    <mergeCell ref="B99:C99"/>
    <mergeCell ref="B290:C290"/>
    <mergeCell ref="B291:C291"/>
    <mergeCell ref="D291:E291"/>
    <mergeCell ref="F291:G291"/>
    <mergeCell ref="H291:I291"/>
    <mergeCell ref="B191:C191"/>
    <mergeCell ref="D191:E191"/>
    <mergeCell ref="F191:G191"/>
    <mergeCell ref="B144:C144"/>
    <mergeCell ref="B336:C336"/>
    <mergeCell ref="D336:E336"/>
    <mergeCell ref="F336:G336"/>
    <mergeCell ref="H336:I336"/>
    <mergeCell ref="H337:I337"/>
    <mergeCell ref="F337:G337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25" workbookViewId="0">
      <selection activeCell="P342" sqref="A1:P34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0" sqref="B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XE</cp:lastModifiedBy>
  <cp:lastPrinted>2023-01-30T08:29:04Z</cp:lastPrinted>
  <dcterms:created xsi:type="dcterms:W3CDTF">2017-10-30T19:32:53Z</dcterms:created>
  <dcterms:modified xsi:type="dcterms:W3CDTF">2023-02-03T11:29:44Z</dcterms:modified>
</cp:coreProperties>
</file>